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9320" windowHeight="7755" activeTab="0"/>
  </bookViews>
  <sheets>
    <sheet name="цифры 2015-2019 гг" sheetId="1" r:id="rId1"/>
    <sheet name="насел., зар.пл." sheetId="2" r:id="rId2"/>
    <sheet name="промышленность" sheetId="3" r:id="rId3"/>
    <sheet name="промыш(с НовЭк)" sheetId="4" r:id="rId4"/>
    <sheet name="строительство" sheetId="5" r:id="rId5"/>
    <sheet name="инвест. с Нов.Эк" sheetId="6" r:id="rId6"/>
    <sheet name="МП" sheetId="7" r:id="rId7"/>
    <sheet name="выручка" sheetId="8" r:id="rId8"/>
    <sheet name="Прибыль" sheetId="9" r:id="rId9"/>
    <sheet name="предпр." sheetId="10" r:id="rId10"/>
    <sheet name="ОФ" sheetId="11" r:id="rId11"/>
    <sheet name="сельс.хоз-во" sheetId="12" r:id="rId12"/>
  </sheets>
  <definedNames>
    <definedName name="_xlnm.Print_Titles" localSheetId="0">'цифры 2015-2019 гг'!$4:$5</definedName>
    <definedName name="_xlnm.Print_Area" localSheetId="3">'промыш(с НовЭк)'!$A$1:$L$21</definedName>
  </definedNames>
  <calcPr fullCalcOnLoad="1"/>
</workbook>
</file>

<file path=xl/sharedStrings.xml><?xml version="1.0" encoding="utf-8"?>
<sst xmlns="http://schemas.openxmlformats.org/spreadsheetml/2006/main" count="614" uniqueCount="200">
  <si>
    <t>Параметры прогноза в сопоставлении с ранее представленными параметрами</t>
  </si>
  <si>
    <t>Показатели  социально-экономического развития</t>
  </si>
  <si>
    <t>Ед.                 изм.</t>
  </si>
  <si>
    <t xml:space="preserve">2015 г.     </t>
  </si>
  <si>
    <t>Отклонение</t>
  </si>
  <si>
    <t>2015 г.</t>
  </si>
  <si>
    <t>2016 г.</t>
  </si>
  <si>
    <t>2017 г.</t>
  </si>
  <si>
    <t>отчет</t>
  </si>
  <si>
    <t>оценка</t>
  </si>
  <si>
    <r>
      <t xml:space="preserve">прогноз </t>
    </r>
    <r>
      <rPr>
        <sz val="7"/>
        <rFont val="Times New Roman"/>
        <family val="1"/>
      </rPr>
      <t>уточненный</t>
    </r>
  </si>
  <si>
    <t>прогноз</t>
  </si>
  <si>
    <r>
      <t xml:space="preserve">прогноз </t>
    </r>
    <r>
      <rPr>
        <sz val="7"/>
        <rFont val="Times New Roman"/>
        <family val="1"/>
      </rPr>
      <t xml:space="preserve">уточненный  </t>
    </r>
    <r>
      <rPr>
        <sz val="8"/>
        <rFont val="Times New Roman"/>
        <family val="1"/>
      </rPr>
      <t xml:space="preserve"> к прогнозу</t>
    </r>
  </si>
  <si>
    <t>Промышленное производство</t>
  </si>
  <si>
    <t>Объем промышленного производства</t>
  </si>
  <si>
    <t>млн. руб.</t>
  </si>
  <si>
    <t>индекс физического объема</t>
  </si>
  <si>
    <t>%</t>
  </si>
  <si>
    <t>Строительство и инвестиции</t>
  </si>
  <si>
    <t>Объем строительных работ</t>
  </si>
  <si>
    <t>Инвестиции в основной капитал за счет всех источников финансирования</t>
  </si>
  <si>
    <t>Население и занятость</t>
  </si>
  <si>
    <t>Численность населения на конец года</t>
  </si>
  <si>
    <t>тыс. чел.</t>
  </si>
  <si>
    <t>Численность занятых в экономике города в среднегодовом исчислении</t>
  </si>
  <si>
    <t>Оплата труда</t>
  </si>
  <si>
    <t>Фонд оплаты труда</t>
  </si>
  <si>
    <t>темп роста</t>
  </si>
  <si>
    <t>Среднемесячная номинальная заработная плата 1 работника</t>
  </si>
  <si>
    <t>руб.</t>
  </si>
  <si>
    <t>Малое предпринимательство</t>
  </si>
  <si>
    <t>Численность занятых в «малых» предприятиях в среднегодовом исчислении</t>
  </si>
  <si>
    <t>доля «малых» предприятий в занятости на предприятиях и организациях города</t>
  </si>
  <si>
    <t>Выручка «малых» предприятий от реализации товаров, продукции, работ, услуг</t>
  </si>
  <si>
    <t>доля «малых» предприятий в выручке предприятий и организаций города</t>
  </si>
  <si>
    <t>Выручка  от реализации товаров, продукции, работ, услуг</t>
  </si>
  <si>
    <t>Выручка предприятий и организаций от реализации товаров, продукции, работ, услуг</t>
  </si>
  <si>
    <t>Прибыль до налогообложения прибыльных  организаций</t>
  </si>
  <si>
    <t>Прибыль прибыльных организаций</t>
  </si>
  <si>
    <t>Предприятия и организации</t>
  </si>
  <si>
    <t>Количество зарегистрированных предприятий и организаций</t>
  </si>
  <si>
    <t>ед.</t>
  </si>
  <si>
    <t>Количество предприятий и организаций, осуществляющих деятельность</t>
  </si>
  <si>
    <t>Основные средства по остаточной стоимости организаций, на конец года</t>
  </si>
  <si>
    <t>Показатель</t>
  </si>
  <si>
    <t>Ед. измер.</t>
  </si>
  <si>
    <t xml:space="preserve">Всего по полному кругу организаций </t>
  </si>
  <si>
    <t>2017 г. прогноз</t>
  </si>
  <si>
    <t>2018 г. прогноз</t>
  </si>
  <si>
    <t>Объем отгруженной продукции (без НДС и акцизов) всего по разделам С, D, E  ОКВЭД</t>
  </si>
  <si>
    <t>тыс.руб.</t>
  </si>
  <si>
    <t>в том числе</t>
  </si>
  <si>
    <t>добывающие производства</t>
  </si>
  <si>
    <t>обрабатывающие производства</t>
  </si>
  <si>
    <t>производство и распределение электроэнергии, газа и воды</t>
  </si>
  <si>
    <t xml:space="preserve">Индекс промышленного производства                                                                                           всего по раделам С, D, E  ОКВЭД </t>
  </si>
  <si>
    <t xml:space="preserve">Объем отгруженной продукции по малым предприятиям                    </t>
  </si>
  <si>
    <t>Индекс промышленного производства по малым  предприятиям</t>
  </si>
  <si>
    <t>Финансовые результаты организаций в промышленности</t>
  </si>
  <si>
    <t>Выручка от реализации товаров, продукции, работ, услуг (без НДС, акцизов и прочих аналогичных платежей)</t>
  </si>
  <si>
    <t>Прибыль (убыток) - всего</t>
  </si>
  <si>
    <t>Объем прибыли по прибыльным организациям</t>
  </si>
  <si>
    <t>Объем убытков по убыточным организациям</t>
  </si>
  <si>
    <t xml:space="preserve">В том числе по крупным и средним организациям  </t>
  </si>
  <si>
    <t>Количество крупных и средних предприятий</t>
  </si>
  <si>
    <t>-</t>
  </si>
  <si>
    <t>Объем работ, выполненных по виду деятельности     "Строительство"</t>
  </si>
  <si>
    <t>из них: выполненных на территории других МО</t>
  </si>
  <si>
    <t>Из них за счет:</t>
  </si>
  <si>
    <t xml:space="preserve">  Собственных средств организаций</t>
  </si>
  <si>
    <t xml:space="preserve">  Бюджетных средств</t>
  </si>
  <si>
    <t xml:space="preserve">  Прочих источников</t>
  </si>
  <si>
    <t xml:space="preserve">      в том числе средства населения на ИЖС</t>
  </si>
  <si>
    <t>Развитие отраслей социальной сферы</t>
  </si>
  <si>
    <t>Ввод в эксплуатацию жилья, всего</t>
  </si>
  <si>
    <t>кв.м.</t>
  </si>
  <si>
    <t>Из них за счет средств индивидуальных застройщиков</t>
  </si>
  <si>
    <t>Ввод в эксплуатацию дошкольных образовательных учреждений</t>
  </si>
  <si>
    <t>мест</t>
  </si>
  <si>
    <t>Ввод в эксплуатацию учреждений общего образования</t>
  </si>
  <si>
    <t>Ввод в эксплуатацию больниц</t>
  </si>
  <si>
    <t>Ввод в эксплуатацию амбулаторно-поликлинических учреждений</t>
  </si>
  <si>
    <t>в т.ч. дети до 18 лет</t>
  </si>
  <si>
    <t>Численность работающих в среднегодовом исчислении</t>
  </si>
  <si>
    <t>Среднемесячная заработная плата на 1 работника</t>
  </si>
  <si>
    <t>рублей</t>
  </si>
  <si>
    <t>Показатели</t>
  </si>
  <si>
    <t>Ед.     изм.</t>
  </si>
  <si>
    <t>2015 год</t>
  </si>
  <si>
    <t>2016 год</t>
  </si>
  <si>
    <t>2017 год</t>
  </si>
  <si>
    <t>2018 год</t>
  </si>
  <si>
    <t xml:space="preserve"> Количество малых предприятий на конец года</t>
  </si>
  <si>
    <t>Среднесписочная численность работников (без внешних совместителей)</t>
  </si>
  <si>
    <t>чел.</t>
  </si>
  <si>
    <t xml:space="preserve">тыс. руб. </t>
  </si>
  <si>
    <t>в том числе по видам экономической деятельности (ОКВЭД):</t>
  </si>
  <si>
    <t>сельское хозяйство, охота и лесное хозяйство (А В)</t>
  </si>
  <si>
    <t>промышленное производство (разделы С, D, E)</t>
  </si>
  <si>
    <t>из них:</t>
  </si>
  <si>
    <t xml:space="preserve">           добыча полезных ископаемых (С)</t>
  </si>
  <si>
    <t xml:space="preserve">          обрабатывающие производства (D)</t>
  </si>
  <si>
    <t xml:space="preserve">          производство и распределение электроэнергии, газа и воды (E)</t>
  </si>
  <si>
    <t>строительство (F)</t>
  </si>
  <si>
    <t>оптовая и розничная торговля, ремонт (G)</t>
  </si>
  <si>
    <t>транспорт и связь (I)</t>
  </si>
  <si>
    <t>операции с недвижимым имуществом, аренда и предоставление услуг (К)</t>
  </si>
  <si>
    <t>прочие виды деятельности</t>
  </si>
  <si>
    <t>Выручка от продажи товаров, работ и услуг (без НДС)</t>
  </si>
  <si>
    <t xml:space="preserve">                                            к предыдущему году в сопоставимых ценах</t>
  </si>
  <si>
    <t>Инвестиции в основной капитал</t>
  </si>
  <si>
    <t xml:space="preserve">                                        к предыдущему году в сопоставимых ценах</t>
  </si>
  <si>
    <t xml:space="preserve"> Фонд начисленной заработной платы</t>
  </si>
  <si>
    <t>тыс. руб.</t>
  </si>
  <si>
    <t>Выручка от реализации товаров, продукции, работ, услуг (без НДС, акцизов и прочих аналогичных платежей) - всего</t>
  </si>
  <si>
    <t>млн.руб.</t>
  </si>
  <si>
    <t>Сельскохозяйственное производство (разделы А, В ОКВЭД)</t>
  </si>
  <si>
    <t>Промышленное производство (разделы С, D, Е ОКВЭД)</t>
  </si>
  <si>
    <t>Строительство (раздел F ОКВЭД)</t>
  </si>
  <si>
    <t>Оптовая и розничная торговля, ремонт (раздел G ОКВЭД)</t>
  </si>
  <si>
    <t>Транспорт и связь (раздел I ОКВЭД)</t>
  </si>
  <si>
    <t>Операции с недвижимым имуществом, аренда и представление услуг (раздел К ОКВЭД)</t>
  </si>
  <si>
    <t>Предоставление прочих коммунальных, социальных и персональных услуг (раздел О ОКВЭД)</t>
  </si>
  <si>
    <t>№ п/п</t>
  </si>
  <si>
    <t>Единица измерения</t>
  </si>
  <si>
    <t>Всего (по полному кругу)</t>
  </si>
  <si>
    <t xml:space="preserve">в том числе </t>
  </si>
  <si>
    <t>крупные и средние</t>
  </si>
  <si>
    <t>малые и организации</t>
  </si>
  <si>
    <r>
      <t xml:space="preserve">Прибыль до налогообложения прибыльных организаций </t>
    </r>
    <r>
      <rPr>
        <sz val="12"/>
        <rFont val="Times New Roman"/>
        <family val="1"/>
      </rPr>
      <t>по данным бухгалтерского учета</t>
    </r>
  </si>
  <si>
    <t xml:space="preserve">Количество зарегистрированных предприятий и организаций  </t>
  </si>
  <si>
    <t>в том числе осуществляющих деятельность-всего</t>
  </si>
  <si>
    <t>Финансовая деятельность (раздел J ОКВЭД)</t>
  </si>
  <si>
    <t>Государственное управление (раздел L ОКВЭД)</t>
  </si>
  <si>
    <t>Образование (раздел М ОКВЭД)</t>
  </si>
  <si>
    <t>Здравоохранение (раздел N ОКВЭД)</t>
  </si>
  <si>
    <t>Прочие виды экономической деятельности</t>
  </si>
  <si>
    <t xml:space="preserve">из них: </t>
  </si>
  <si>
    <t>Прочие виды экономической деятельности (H)</t>
  </si>
  <si>
    <t>Инвестиции</t>
  </si>
  <si>
    <t>Строительство</t>
  </si>
  <si>
    <t>Валовая продукция сельского хозяйства во всех категориях хозяйств</t>
  </si>
  <si>
    <t>Валовая продукция сельского хозяйства в сельскохозяйственных  организациях</t>
  </si>
  <si>
    <t>Численность работающих в сельскохозяйственных организациях</t>
  </si>
  <si>
    <t>Фонд оплаты труда в в сельскохозяйственных организациях</t>
  </si>
  <si>
    <t xml:space="preserve">Среднемесячная заработная плата на 1 работника </t>
  </si>
  <si>
    <t xml:space="preserve">Финансовые результаты деятельности сельскохозяйственных организаций </t>
  </si>
  <si>
    <t>Себестоимость проданных товаров, продукции (работ, услуг)</t>
  </si>
  <si>
    <t xml:space="preserve">Прибыль (убыток) от продаж </t>
  </si>
  <si>
    <t>Прибыль (убыток) от прочих операций (прочие доходы и расходы)</t>
  </si>
  <si>
    <t xml:space="preserve">в том числе субсидии из бюджетов </t>
  </si>
  <si>
    <t>Прибыль (убыток) до налогообложения</t>
  </si>
  <si>
    <t xml:space="preserve">в том числе по организациям перешедшим на уплату единого сельскохозяйственного налога </t>
  </si>
  <si>
    <t>Количество прибыльных организаций</t>
  </si>
  <si>
    <t>Количество убыточных организаций</t>
  </si>
  <si>
    <t xml:space="preserve">в т.ч. по организациям "Новой экономики" </t>
  </si>
  <si>
    <t>2015 г. отчет</t>
  </si>
  <si>
    <t>2016 г. оценка</t>
  </si>
  <si>
    <t>2019 г. прогноз</t>
  </si>
  <si>
    <t xml:space="preserve">Индекс промышленного производства                                                                          всего по раделам С, D, E  ОКВЭД </t>
  </si>
  <si>
    <t>в 12 р.</t>
  </si>
  <si>
    <t>2015 г.    отчет</t>
  </si>
  <si>
    <t>2017 г.  прогноз</t>
  </si>
  <si>
    <t>2018 г.          прогноз</t>
  </si>
  <si>
    <t>2019 г.      прогноз</t>
  </si>
  <si>
    <t>2015г.    отчет</t>
  </si>
  <si>
    <t>2015 г.                            отчет</t>
  </si>
  <si>
    <t>прочие организации</t>
  </si>
  <si>
    <t>Единица изме-рения</t>
  </si>
  <si>
    <r>
      <t xml:space="preserve">Всего 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(крупные и средние коммерческие и некоммерческие организации)</t>
    </r>
  </si>
  <si>
    <r>
      <t xml:space="preserve">коммерческие </t>
    </r>
    <r>
      <rPr>
        <sz val="10"/>
        <rFont val="Arial Cyr"/>
        <family val="0"/>
      </rPr>
      <t xml:space="preserve">(отчет - по форме статистического наблюдения  N 11 "Сведения о наличии и движении основных фондов (средств) и других нефинансовых активов" </t>
    </r>
  </si>
  <si>
    <r>
      <t xml:space="preserve">некоммерческие </t>
    </r>
    <r>
      <rPr>
        <sz val="10"/>
        <rFont val="Arial Cyr"/>
        <family val="0"/>
      </rPr>
      <t>(отчет - по форме статистического наблюдения  N 11 (краткая) "Сведения о наличии и движении основных фондов (средств) некоммерческих организаций")</t>
    </r>
  </si>
  <si>
    <t>1.</t>
  </si>
  <si>
    <t>х</t>
  </si>
  <si>
    <t>2.</t>
  </si>
  <si>
    <r>
      <t xml:space="preserve">                                                             из них </t>
    </r>
    <r>
      <rPr>
        <b/>
        <sz val="10"/>
        <rFont val="Times New Roman"/>
        <family val="1"/>
      </rPr>
      <t>действующих</t>
    </r>
    <r>
      <rPr>
        <sz val="10"/>
        <rFont val="Times New Roman"/>
        <family val="1"/>
      </rPr>
      <t xml:space="preserve"> </t>
    </r>
  </si>
  <si>
    <t>Выручка</t>
  </si>
  <si>
    <t>Финансовые результаты предприятий и организаций - прибыль прибыльных организаций</t>
  </si>
  <si>
    <t>Сельскохозяйственное производство</t>
  </si>
  <si>
    <t>*  расчетные цифры по объемам производства сельскохозяйственной продукции в личных подсобных хозяйствах граждан, на садово-огороднических участках</t>
  </si>
  <si>
    <t>Собственных средств организаций</t>
  </si>
  <si>
    <t>в том числе средства населения на ИЖС</t>
  </si>
  <si>
    <t>Бюджетных средств</t>
  </si>
  <si>
    <t>Прочих источников</t>
  </si>
  <si>
    <t>2018 г.</t>
  </si>
  <si>
    <r>
      <t xml:space="preserve">Всего по полному кругу организаций </t>
    </r>
    <r>
      <rPr>
        <b/>
        <sz val="12"/>
        <color indexed="62"/>
        <rFont val="Arial Cyr"/>
        <family val="0"/>
      </rPr>
      <t>*</t>
    </r>
  </si>
  <si>
    <t>отчет                                                  к                                              оценке</t>
  </si>
  <si>
    <r>
      <t xml:space="preserve">оценка к прогнозу </t>
    </r>
    <r>
      <rPr>
        <sz val="7"/>
        <rFont val="Times New Roman"/>
        <family val="1"/>
      </rPr>
      <t>уточненному</t>
    </r>
  </si>
  <si>
    <t xml:space="preserve"> Основные средства по крупным и средним коммерческим организациям</t>
  </si>
  <si>
    <t xml:space="preserve">   Всего по полному кругу организаций  
</t>
  </si>
  <si>
    <t>3.</t>
  </si>
  <si>
    <t>4.</t>
  </si>
  <si>
    <t>Основные средства по остаточной балансовой стоимости организаций, на конец года (отчет - по форме статистического наблюдения  № -11 "Сведения о наличии и движении основных фондов (средств) и других нефинансовых активов")</t>
  </si>
  <si>
    <t>Увеличение полной учетной стоимости основных фондов за отчетный год за счет создания новой стоимости (ввода в действие новых объектов основных фондов,  модернизации, реконструкции)</t>
  </si>
  <si>
    <t>Наличие основных фондов на конец года по полной учетной стоимости</t>
  </si>
  <si>
    <t>Коэффициент обновления основных фондов (в процентах) - отношение основных фондов, введенных в действие в течение года, к их наличию (по полной учетной стоимости) на конец года</t>
  </si>
  <si>
    <t>Основные фонды и коэффициент обновления</t>
  </si>
  <si>
    <t>в т.ч. по организациям "Новой экономики"</t>
  </si>
  <si>
    <t xml:space="preserve">резиденты индустриальных парков </t>
  </si>
  <si>
    <t>Х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</si>
</sst>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.0"/>
    <numFmt numFmtId="167" formatCode="#,##0.000"/>
    <numFmt numFmtId="168" formatCode="#,##0.0000"/>
    <numFmt numFmtId="169" formatCode="_-* #,##0.000_р_._-;\-* #,##0.000_р_._-;_-* &quot;-&quot;??_р_._-;_-@_-"/>
    <numFmt numFmtId="170" formatCode="0.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Arial Cyr"/>
      <family val="2"/>
    </font>
    <font>
      <b/>
      <sz val="11"/>
      <name val="Arial Cyr"/>
      <family val="2"/>
    </font>
    <font>
      <b/>
      <sz val="11"/>
      <color indexed="62"/>
      <name val="Arial Cyr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24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1"/>
      <color indexed="61"/>
      <name val="Arial Cyr"/>
      <family val="2"/>
    </font>
    <font>
      <sz val="9"/>
      <name val="Arial Cyr"/>
      <family val="2"/>
    </font>
    <font>
      <i/>
      <sz val="11"/>
      <name val="Times New Roman"/>
      <family val="1"/>
    </font>
    <font>
      <i/>
      <sz val="10"/>
      <name val="Arial Cyr"/>
      <family val="2"/>
    </font>
    <font>
      <i/>
      <sz val="10"/>
      <color indexed="24"/>
      <name val="Arial Cyr"/>
      <family val="0"/>
    </font>
    <font>
      <sz val="9"/>
      <color indexed="24"/>
      <name val="Arial Cyr"/>
      <family val="0"/>
    </font>
    <font>
      <i/>
      <sz val="9"/>
      <name val="Arial"/>
      <family val="2"/>
    </font>
    <font>
      <b/>
      <i/>
      <sz val="9"/>
      <color indexed="61"/>
      <name val="Arial Cyr"/>
      <family val="2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i/>
      <sz val="10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sz val="6"/>
      <name val="Arial Cyr"/>
      <family val="2"/>
    </font>
    <font>
      <b/>
      <sz val="12"/>
      <color indexed="6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sz val="10"/>
      <color indexed="30"/>
      <name val="Arial Cyr"/>
      <family val="2"/>
    </font>
    <font>
      <b/>
      <i/>
      <sz val="10"/>
      <color indexed="30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b/>
      <i/>
      <sz val="9"/>
      <color indexed="30"/>
      <name val="Arial Cyr"/>
      <family val="2"/>
    </font>
    <font>
      <sz val="9"/>
      <color indexed="30"/>
      <name val="Arial Cyr"/>
      <family val="2"/>
    </font>
    <font>
      <sz val="10"/>
      <color indexed="12"/>
      <name val="Arial"/>
      <family val="2"/>
    </font>
    <font>
      <sz val="6"/>
      <color indexed="30"/>
      <name val="Arial Cyr"/>
      <family val="2"/>
    </font>
    <font>
      <b/>
      <sz val="11"/>
      <color indexed="3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>
        <color indexed="63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/>
      <right style="thin"/>
      <top style="thin"/>
      <bottom style="thin">
        <color indexed="21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thin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medium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18" fillId="0" borderId="0" applyProtection="0">
      <alignment/>
    </xf>
    <xf numFmtId="0" fontId="19" fillId="0" borderId="0" applyProtection="0">
      <alignment/>
    </xf>
    <xf numFmtId="0" fontId="11" fillId="0" borderId="0" applyNumberFormat="0" applyBorder="0" applyAlignment="0" applyProtection="0"/>
    <xf numFmtId="0" fontId="11" fillId="0" borderId="0" applyNumberFormat="0" applyBorder="0" applyProtection="0">
      <alignment horizontal="center"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11" fillId="0" borderId="0">
      <alignment/>
      <protection/>
    </xf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349">
    <xf numFmtId="0" fontId="0" fillId="0" borderId="0" xfId="0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center"/>
    </xf>
    <xf numFmtId="0" fontId="4" fillId="10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3" fillId="10" borderId="11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top" wrapText="1"/>
    </xf>
    <xf numFmtId="0" fontId="4" fillId="10" borderId="12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4" fillId="0" borderId="13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2" borderId="15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0" fontId="4" fillId="10" borderId="13" xfId="0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165" fontId="4" fillId="0" borderId="14" xfId="0" applyNumberFormat="1" applyFont="1" applyBorder="1" applyAlignment="1">
      <alignment horizontal="right" vertical="center" wrapText="1"/>
    </xf>
    <xf numFmtId="165" fontId="4" fillId="2" borderId="15" xfId="0" applyNumberFormat="1" applyFont="1" applyFill="1" applyBorder="1" applyAlignment="1">
      <alignment horizontal="right" vertical="center" wrapText="1"/>
    </xf>
    <xf numFmtId="165" fontId="4" fillId="0" borderId="16" xfId="0" applyNumberFormat="1" applyFont="1" applyBorder="1" applyAlignment="1">
      <alignment horizontal="right" vertical="center" wrapText="1"/>
    </xf>
    <xf numFmtId="166" fontId="4" fillId="0" borderId="16" xfId="0" applyNumberFormat="1" applyFont="1" applyBorder="1" applyAlignment="1">
      <alignment vertical="center"/>
    </xf>
    <xf numFmtId="0" fontId="3" fillId="10" borderId="14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top" wrapText="1"/>
    </xf>
    <xf numFmtId="3" fontId="4" fillId="10" borderId="14" xfId="0" applyNumberFormat="1" applyFont="1" applyFill="1" applyBorder="1" applyAlignment="1">
      <alignment horizontal="center" vertical="top" wrapText="1"/>
    </xf>
    <xf numFmtId="165" fontId="4" fillId="0" borderId="16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166" fontId="4" fillId="0" borderId="15" xfId="0" applyNumberFormat="1" applyFont="1" applyBorder="1" applyAlignment="1">
      <alignment vertical="center"/>
    </xf>
    <xf numFmtId="0" fontId="4" fillId="0" borderId="14" xfId="0" applyFont="1" applyBorder="1" applyAlignment="1">
      <alignment horizontal="right" vertical="center" wrapText="1"/>
    </xf>
    <xf numFmtId="0" fontId="4" fillId="2" borderId="15" xfId="0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center"/>
    </xf>
    <xf numFmtId="0" fontId="9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3" fontId="0" fillId="0" borderId="17" xfId="62" applyNumberFormat="1" applyFont="1" applyFill="1" applyBorder="1" applyAlignment="1">
      <alignment vertical="center"/>
      <protection/>
    </xf>
    <xf numFmtId="0" fontId="12" fillId="0" borderId="17" xfId="0" applyFont="1" applyBorder="1" applyAlignment="1">
      <alignment horizont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wrapText="1"/>
    </xf>
    <xf numFmtId="166" fontId="0" fillId="0" borderId="17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Border="1" applyAlignment="1">
      <alignment vertical="center"/>
    </xf>
    <xf numFmtId="0" fontId="13" fillId="0" borderId="17" xfId="0" applyFont="1" applyBorder="1" applyAlignment="1">
      <alignment wrapText="1"/>
    </xf>
    <xf numFmtId="3" fontId="0" fillId="0" borderId="17" xfId="0" applyNumberFormat="1" applyFont="1" applyBorder="1" applyAlignment="1">
      <alignment vertical="center" wrapText="1"/>
    </xf>
    <xf numFmtId="3" fontId="15" fillId="0" borderId="17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2" fillId="0" borderId="17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3" fontId="0" fillId="0" borderId="17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vertical="center" wrapText="1"/>
    </xf>
    <xf numFmtId="3" fontId="15" fillId="0" borderId="17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0" fillId="0" borderId="17" xfId="0" applyFont="1" applyBorder="1" applyAlignment="1">
      <alignment wrapText="1"/>
    </xf>
    <xf numFmtId="3" fontId="15" fillId="0" borderId="17" xfId="62" applyNumberFormat="1" applyFont="1" applyFill="1" applyBorder="1" applyAlignment="1">
      <alignment vertical="center"/>
      <protection/>
    </xf>
    <xf numFmtId="0" fontId="20" fillId="0" borderId="17" xfId="0" applyFont="1" applyBorder="1" applyAlignment="1">
      <alignment horizontal="left" wrapText="1"/>
    </xf>
    <xf numFmtId="0" fontId="12" fillId="0" borderId="1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wrapText="1"/>
    </xf>
    <xf numFmtId="166" fontId="15" fillId="0" borderId="17" xfId="0" applyNumberFormat="1" applyFont="1" applyFill="1" applyBorder="1" applyAlignment="1">
      <alignment horizontal="right" vertical="center" wrapText="1"/>
    </xf>
    <xf numFmtId="0" fontId="12" fillId="0" borderId="17" xfId="0" applyFont="1" applyBorder="1" applyAlignment="1">
      <alignment wrapText="1"/>
    </xf>
    <xf numFmtId="3" fontId="15" fillId="0" borderId="17" xfId="0" applyNumberFormat="1" applyFont="1" applyBorder="1" applyAlignment="1">
      <alignment vertical="center" wrapText="1"/>
    </xf>
    <xf numFmtId="0" fontId="15" fillId="0" borderId="0" xfId="0" applyFont="1" applyAlignment="1">
      <alignment/>
    </xf>
    <xf numFmtId="0" fontId="12" fillId="0" borderId="17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wrapText="1"/>
    </xf>
    <xf numFmtId="3" fontId="15" fillId="0" borderId="17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3" fontId="0" fillId="0" borderId="18" xfId="0" applyNumberFormat="1" applyFont="1" applyBorder="1" applyAlignment="1">
      <alignment vertical="center" wrapText="1"/>
    </xf>
    <xf numFmtId="3" fontId="0" fillId="0" borderId="17" xfId="62" applyNumberFormat="1" applyFont="1" applyBorder="1" applyAlignment="1">
      <alignment vertical="center"/>
      <protection/>
    </xf>
    <xf numFmtId="3" fontId="0" fillId="0" borderId="19" xfId="62" applyNumberFormat="1" applyFont="1" applyBorder="1" applyAlignment="1">
      <alignment vertical="center"/>
      <protection/>
    </xf>
    <xf numFmtId="3" fontId="0" fillId="0" borderId="18" xfId="0" applyNumberFormat="1" applyFont="1" applyBorder="1" applyAlignment="1">
      <alignment horizontal="right" vertical="center" wrapText="1"/>
    </xf>
    <xf numFmtId="166" fontId="0" fillId="0" borderId="17" xfId="62" applyNumberFormat="1" applyFont="1" applyBorder="1" applyAlignment="1">
      <alignment vertical="center"/>
      <protection/>
    </xf>
    <xf numFmtId="166" fontId="0" fillId="0" borderId="19" xfId="62" applyNumberFormat="1" applyFont="1" applyBorder="1" applyAlignment="1">
      <alignment vertical="center"/>
      <protection/>
    </xf>
    <xf numFmtId="3" fontId="0" fillId="0" borderId="20" xfId="62" applyNumberFormat="1" applyFont="1" applyBorder="1" applyAlignment="1">
      <alignment vertical="center"/>
      <protection/>
    </xf>
    <xf numFmtId="3" fontId="0" fillId="0" borderId="21" xfId="62" applyNumberFormat="1" applyFont="1" applyBorder="1" applyAlignment="1">
      <alignment vertical="center"/>
      <protection/>
    </xf>
    <xf numFmtId="3" fontId="0" fillId="0" borderId="17" xfId="0" applyNumberFormat="1" applyFont="1" applyBorder="1" applyAlignment="1">
      <alignment vertical="center"/>
    </xf>
    <xf numFmtId="167" fontId="0" fillId="0" borderId="17" xfId="0" applyNumberFormat="1" applyFont="1" applyFill="1" applyBorder="1" applyAlignment="1">
      <alignment vertical="center"/>
    </xf>
    <xf numFmtId="3" fontId="0" fillId="0" borderId="17" xfId="0" applyNumberFormat="1" applyFont="1" applyBorder="1" applyAlignment="1">
      <alignment horizontal="right" vertical="center"/>
    </xf>
    <xf numFmtId="3" fontId="15" fillId="0" borderId="17" xfId="0" applyNumberFormat="1" applyFont="1" applyFill="1" applyBorder="1" applyAlignment="1">
      <alignment horizontal="center" vertical="center"/>
    </xf>
    <xf numFmtId="3" fontId="0" fillId="0" borderId="17" xfId="62" applyNumberFormat="1" applyFont="1" applyFill="1" applyBorder="1" applyAlignment="1">
      <alignment horizontal="right" vertical="center"/>
      <protection/>
    </xf>
    <xf numFmtId="3" fontId="0" fillId="0" borderId="17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4" fillId="4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5" fillId="0" borderId="17" xfId="0" applyFont="1" applyFill="1" applyBorder="1" applyAlignment="1">
      <alignment horizontal="center" vertical="center" wrapText="1"/>
    </xf>
    <xf numFmtId="3" fontId="0" fillId="0" borderId="17" xfId="62" applyNumberFormat="1" applyFont="1" applyFill="1" applyBorder="1" applyAlignment="1">
      <alignment horizontal="center" vertical="center"/>
      <protection/>
    </xf>
    <xf numFmtId="0" fontId="25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top" wrapText="1" indent="1"/>
    </xf>
    <xf numFmtId="3" fontId="25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left" vertical="top" wrapText="1" indent="1"/>
    </xf>
    <xf numFmtId="0" fontId="0" fillId="0" borderId="17" xfId="0" applyFont="1" applyFill="1" applyBorder="1" applyAlignment="1">
      <alignment horizontal="center" vertical="center"/>
    </xf>
    <xf numFmtId="3" fontId="0" fillId="0" borderId="17" xfId="0" applyNumberFormat="1" applyFont="1" applyBorder="1" applyAlignment="1">
      <alignment horizontal="left" vertical="center" wrapText="1" indent="2"/>
    </xf>
    <xf numFmtId="3" fontId="0" fillId="0" borderId="0" xfId="0" applyNumberFormat="1" applyFont="1" applyFill="1" applyBorder="1" applyAlignment="1">
      <alignment vertical="center"/>
    </xf>
    <xf numFmtId="0" fontId="52" fillId="0" borderId="0" xfId="0" applyFont="1" applyBorder="1" applyAlignment="1">
      <alignment vertical="top"/>
    </xf>
    <xf numFmtId="0" fontId="15" fillId="0" borderId="17" xfId="0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0" fontId="0" fillId="0" borderId="17" xfId="62" applyNumberFormat="1" applyFont="1" applyBorder="1" applyAlignment="1">
      <alignment vertical="center"/>
      <protection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166" fontId="4" fillId="0" borderId="15" xfId="0" applyNumberFormat="1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vertical="center"/>
    </xf>
    <xf numFmtId="0" fontId="3" fillId="10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 indent="1"/>
    </xf>
    <xf numFmtId="0" fontId="3" fillId="10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3" fontId="4" fillId="2" borderId="27" xfId="0" applyNumberFormat="1" applyFont="1" applyFill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0" fontId="4" fillId="10" borderId="10" xfId="0" applyFont="1" applyFill="1" applyBorder="1" applyAlignment="1">
      <alignment horizontal="center" vertical="center" wrapText="1"/>
    </xf>
    <xf numFmtId="3" fontId="4" fillId="0" borderId="27" xfId="0" applyNumberFormat="1" applyFont="1" applyBorder="1" applyAlignment="1">
      <alignment vertical="center"/>
    </xf>
    <xf numFmtId="164" fontId="4" fillId="0" borderId="28" xfId="0" applyNumberFormat="1" applyFont="1" applyBorder="1" applyAlignment="1">
      <alignment vertical="center"/>
    </xf>
    <xf numFmtId="0" fontId="3" fillId="10" borderId="29" xfId="0" applyFont="1" applyFill="1" applyBorder="1" applyAlignment="1">
      <alignment horizontal="center" vertical="center" wrapText="1"/>
    </xf>
    <xf numFmtId="3" fontId="53" fillId="0" borderId="17" xfId="62" applyNumberFormat="1" applyFont="1" applyFill="1" applyBorder="1" applyAlignment="1">
      <alignment vertical="center"/>
      <protection/>
    </xf>
    <xf numFmtId="166" fontId="54" fillId="0" borderId="17" xfId="0" applyNumberFormat="1" applyFont="1" applyFill="1" applyBorder="1" applyAlignment="1">
      <alignment horizontal="center" vertical="center" wrapText="1"/>
    </xf>
    <xf numFmtId="167" fontId="0" fillId="0" borderId="0" xfId="62" applyNumberFormat="1" applyFont="1" applyFill="1" applyBorder="1" applyAlignment="1">
      <alignment vertical="center"/>
      <protection/>
    </xf>
    <xf numFmtId="3" fontId="0" fillId="0" borderId="0" xfId="62" applyNumberFormat="1" applyFont="1" applyFill="1" applyBorder="1" applyAlignment="1">
      <alignment vertical="center"/>
      <protection/>
    </xf>
    <xf numFmtId="0" fontId="55" fillId="0" borderId="0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15" fillId="0" borderId="30" xfId="0" applyNumberFormat="1" applyFont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center" vertical="center"/>
    </xf>
    <xf numFmtId="165" fontId="56" fillId="0" borderId="0" xfId="0" applyNumberFormat="1" applyFont="1" applyFill="1" applyBorder="1" applyAlignment="1">
      <alignment vertical="center"/>
    </xf>
    <xf numFmtId="169" fontId="56" fillId="0" borderId="0" xfId="64" applyNumberFormat="1" applyFont="1" applyFill="1" applyBorder="1" applyAlignment="1">
      <alignment vertical="center"/>
    </xf>
    <xf numFmtId="170" fontId="56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3" fontId="0" fillId="0" borderId="0" xfId="62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/>
    </xf>
    <xf numFmtId="167" fontId="0" fillId="0" borderId="0" xfId="0" applyNumberFormat="1" applyFont="1" applyBorder="1" applyAlignment="1">
      <alignment vertical="center"/>
    </xf>
    <xf numFmtId="0" fontId="28" fillId="6" borderId="17" xfId="0" applyFont="1" applyFill="1" applyBorder="1" applyAlignment="1">
      <alignment horizontal="center" vertical="center" wrapText="1"/>
    </xf>
    <xf numFmtId="0" fontId="28" fillId="6" borderId="20" xfId="0" applyFont="1" applyFill="1" applyBorder="1" applyAlignment="1">
      <alignment horizontal="center" vertical="center" wrapText="1"/>
    </xf>
    <xf numFmtId="0" fontId="28" fillId="6" borderId="21" xfId="0" applyFont="1" applyFill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left" vertical="center" wrapText="1"/>
    </xf>
    <xf numFmtId="3" fontId="0" fillId="0" borderId="32" xfId="0" applyNumberFormat="1" applyFont="1" applyBorder="1" applyAlignment="1">
      <alignment horizontal="center" vertical="center" wrapText="1"/>
    </xf>
    <xf numFmtId="166" fontId="0" fillId="0" borderId="32" xfId="0" applyNumberFormat="1" applyFont="1" applyFill="1" applyBorder="1" applyAlignment="1">
      <alignment vertical="center"/>
    </xf>
    <xf numFmtId="166" fontId="0" fillId="0" borderId="33" xfId="0" applyNumberFormat="1" applyFont="1" applyFill="1" applyBorder="1" applyAlignment="1">
      <alignment vertical="center"/>
    </xf>
    <xf numFmtId="3" fontId="0" fillId="0" borderId="18" xfId="0" applyNumberFormat="1" applyFont="1" applyBorder="1" applyAlignment="1">
      <alignment horizontal="left" vertical="center" wrapText="1"/>
    </xf>
    <xf numFmtId="166" fontId="0" fillId="0" borderId="17" xfId="0" applyNumberFormat="1" applyFont="1" applyFill="1" applyBorder="1" applyAlignment="1">
      <alignment vertical="center"/>
    </xf>
    <xf numFmtId="166" fontId="0" fillId="0" borderId="19" xfId="0" applyNumberFormat="1" applyFont="1" applyFill="1" applyBorder="1" applyAlignment="1">
      <alignment vertical="center"/>
    </xf>
    <xf numFmtId="3" fontId="0" fillId="0" borderId="34" xfId="0" applyNumberFormat="1" applyFont="1" applyBorder="1" applyAlignment="1">
      <alignment horizontal="left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166" fontId="0" fillId="0" borderId="20" xfId="0" applyNumberFormat="1" applyFont="1" applyFill="1" applyBorder="1" applyAlignment="1">
      <alignment vertical="center"/>
    </xf>
    <xf numFmtId="166" fontId="0" fillId="0" borderId="21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top" wrapText="1"/>
      <protection/>
    </xf>
    <xf numFmtId="0" fontId="25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32" xfId="0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vertical="center" wrapText="1"/>
    </xf>
    <xf numFmtId="0" fontId="0" fillId="0" borderId="35" xfId="0" applyBorder="1" applyAlignment="1">
      <alignment vertical="center"/>
    </xf>
    <xf numFmtId="3" fontId="0" fillId="0" borderId="36" xfId="0" applyNumberFormat="1" applyFont="1" applyBorder="1" applyAlignment="1">
      <alignment vertical="center" wrapText="1"/>
    </xf>
    <xf numFmtId="166" fontId="57" fillId="0" borderId="17" xfId="0" applyNumberFormat="1" applyFont="1" applyFill="1" applyBorder="1" applyAlignment="1">
      <alignment horizontal="center" vertical="center" wrapText="1"/>
    </xf>
    <xf numFmtId="3" fontId="58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top" wrapText="1"/>
    </xf>
    <xf numFmtId="3" fontId="15" fillId="0" borderId="17" xfId="62" applyNumberFormat="1" applyFont="1" applyBorder="1" applyAlignment="1">
      <alignment vertical="center"/>
      <protection/>
    </xf>
    <xf numFmtId="0" fontId="15" fillId="0" borderId="0" xfId="0" applyFont="1" applyAlignment="1">
      <alignment vertical="center"/>
    </xf>
    <xf numFmtId="3" fontId="15" fillId="0" borderId="17" xfId="0" applyNumberFormat="1" applyFont="1" applyBorder="1" applyAlignment="1">
      <alignment horizontal="right" vertical="center" wrapText="1"/>
    </xf>
    <xf numFmtId="166" fontId="15" fillId="0" borderId="17" xfId="62" applyNumberFormat="1" applyFont="1" applyBorder="1" applyAlignment="1">
      <alignment vertical="center"/>
      <protection/>
    </xf>
    <xf numFmtId="0" fontId="15" fillId="0" borderId="0" xfId="0" applyFont="1" applyAlignment="1">
      <alignment/>
    </xf>
    <xf numFmtId="0" fontId="23" fillId="0" borderId="0" xfId="0" applyFont="1" applyBorder="1" applyAlignment="1">
      <alignment vertical="center"/>
    </xf>
    <xf numFmtId="3" fontId="15" fillId="0" borderId="30" xfId="0" applyNumberFormat="1" applyFont="1" applyBorder="1" applyAlignment="1">
      <alignment vertical="center" wrapText="1"/>
    </xf>
    <xf numFmtId="3" fontId="15" fillId="0" borderId="30" xfId="62" applyNumberFormat="1" applyFont="1" applyBorder="1" applyAlignment="1">
      <alignment vertical="center"/>
      <protection/>
    </xf>
    <xf numFmtId="3" fontId="15" fillId="0" borderId="30" xfId="0" applyNumberFormat="1" applyFont="1" applyBorder="1" applyAlignment="1">
      <alignment horizontal="right" vertical="center" wrapText="1"/>
    </xf>
    <xf numFmtId="166" fontId="15" fillId="0" borderId="30" xfId="62" applyNumberFormat="1" applyFont="1" applyBorder="1" applyAlignment="1">
      <alignment vertical="center"/>
      <protection/>
    </xf>
    <xf numFmtId="3" fontId="23" fillId="0" borderId="17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" fontId="0" fillId="0" borderId="2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wrapText="1"/>
    </xf>
    <xf numFmtId="3" fontId="0" fillId="0" borderId="17" xfId="0" applyNumberFormat="1" applyFont="1" applyFill="1" applyBorder="1" applyAlignment="1">
      <alignment horizontal="right" vertical="center"/>
    </xf>
    <xf numFmtId="0" fontId="31" fillId="0" borderId="17" xfId="0" applyFont="1" applyBorder="1" applyAlignment="1">
      <alignment horizontal="left" wrapText="1"/>
    </xf>
    <xf numFmtId="0" fontId="13" fillId="0" borderId="17" xfId="0" applyFont="1" applyBorder="1" applyAlignment="1">
      <alignment horizontal="center" wrapText="1"/>
    </xf>
    <xf numFmtId="0" fontId="59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horizontal="left" wrapText="1"/>
    </xf>
    <xf numFmtId="165" fontId="0" fillId="0" borderId="17" xfId="0" applyNumberFormat="1" applyFont="1" applyFill="1" applyBorder="1" applyAlignment="1">
      <alignment horizontal="right" vertical="center"/>
    </xf>
    <xf numFmtId="165" fontId="0" fillId="0" borderId="17" xfId="0" applyNumberFormat="1" applyFont="1" applyFill="1" applyBorder="1" applyAlignment="1">
      <alignment vertical="center"/>
    </xf>
    <xf numFmtId="49" fontId="28" fillId="0" borderId="17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49" fontId="25" fillId="0" borderId="17" xfId="0" applyNumberFormat="1" applyFont="1" applyFill="1" applyBorder="1" applyAlignment="1">
      <alignment horizontal="left" vertical="center" wrapText="1"/>
    </xf>
    <xf numFmtId="49" fontId="28" fillId="0" borderId="17" xfId="0" applyNumberFormat="1" applyFont="1" applyBorder="1" applyAlignment="1">
      <alignment horizontal="left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23" fillId="0" borderId="17" xfId="0" applyNumberFormat="1" applyFont="1" applyBorder="1" applyAlignment="1">
      <alignment horizontal="left" vertical="center" wrapText="1" indent="2"/>
    </xf>
    <xf numFmtId="3" fontId="23" fillId="0" borderId="17" xfId="62" applyNumberFormat="1" applyFont="1" applyFill="1" applyBorder="1" applyAlignment="1">
      <alignment vertical="center"/>
      <protection/>
    </xf>
    <xf numFmtId="3" fontId="0" fillId="0" borderId="18" xfId="0" applyNumberFormat="1" applyFont="1" applyBorder="1" applyAlignment="1">
      <alignment horizontal="left" vertical="center" wrapText="1" indent="2"/>
    </xf>
    <xf numFmtId="0" fontId="0" fillId="0" borderId="34" xfId="0" applyFont="1" applyBorder="1" applyAlignment="1">
      <alignment horizontal="left" vertical="center" wrapText="1" indent="2"/>
    </xf>
    <xf numFmtId="0" fontId="32" fillId="0" borderId="17" xfId="0" applyFont="1" applyBorder="1" applyAlignment="1">
      <alignment horizontal="left" wrapText="1"/>
    </xf>
    <xf numFmtId="0" fontId="33" fillId="0" borderId="17" xfId="0" applyFont="1" applyBorder="1" applyAlignment="1">
      <alignment horizontal="center" wrapText="1"/>
    </xf>
    <xf numFmtId="3" fontId="60" fillId="0" borderId="17" xfId="62" applyNumberFormat="1" applyFont="1" applyFill="1" applyBorder="1" applyAlignment="1">
      <alignment vertical="center"/>
      <protection/>
    </xf>
    <xf numFmtId="0" fontId="34" fillId="0" borderId="0" xfId="0" applyFont="1" applyBorder="1" applyAlignment="1">
      <alignment vertical="center"/>
    </xf>
    <xf numFmtId="3" fontId="4" fillId="0" borderId="16" xfId="0" applyNumberFormat="1" applyFont="1" applyFill="1" applyBorder="1" applyAlignment="1">
      <alignment horizontal="right" vertical="center" wrapText="1"/>
    </xf>
    <xf numFmtId="0" fontId="4" fillId="10" borderId="37" xfId="0" applyFont="1" applyFill="1" applyBorder="1" applyAlignment="1">
      <alignment horizontal="center" vertical="top" wrapText="1"/>
    </xf>
    <xf numFmtId="0" fontId="4" fillId="10" borderId="38" xfId="0" applyFont="1" applyFill="1" applyBorder="1" applyAlignment="1">
      <alignment horizontal="center" vertical="top" wrapText="1"/>
    </xf>
    <xf numFmtId="3" fontId="4" fillId="0" borderId="14" xfId="0" applyNumberFormat="1" applyFont="1" applyBorder="1" applyAlignment="1">
      <alignment vertical="center"/>
    </xf>
    <xf numFmtId="166" fontId="4" fillId="0" borderId="16" xfId="0" applyNumberFormat="1" applyFont="1" applyFill="1" applyBorder="1" applyAlignment="1">
      <alignment vertical="center"/>
    </xf>
    <xf numFmtId="0" fontId="4" fillId="10" borderId="16" xfId="0" applyFont="1" applyFill="1" applyBorder="1" applyAlignment="1">
      <alignment horizontal="center" vertical="top" wrapText="1"/>
    </xf>
    <xf numFmtId="166" fontId="4" fillId="0" borderId="14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0" fontId="4" fillId="10" borderId="29" xfId="0" applyFont="1" applyFill="1" applyBorder="1" applyAlignment="1">
      <alignment horizontal="center" vertical="top" wrapText="1"/>
    </xf>
    <xf numFmtId="0" fontId="4" fillId="10" borderId="39" xfId="0" applyFont="1" applyFill="1" applyBorder="1" applyAlignment="1">
      <alignment horizontal="center" vertical="top" wrapText="1"/>
    </xf>
    <xf numFmtId="164" fontId="4" fillId="0" borderId="40" xfId="0" applyNumberFormat="1" applyFont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166" fontId="4" fillId="0" borderId="40" xfId="0" applyNumberFormat="1" applyFont="1" applyFill="1" applyBorder="1" applyAlignment="1">
      <alignment vertical="center"/>
    </xf>
    <xf numFmtId="3" fontId="4" fillId="10" borderId="15" xfId="0" applyNumberFormat="1" applyFont="1" applyFill="1" applyBorder="1" applyAlignment="1">
      <alignment horizontal="center" vertical="top" wrapText="1"/>
    </xf>
    <xf numFmtId="0" fontId="4" fillId="10" borderId="40" xfId="0" applyFont="1" applyFill="1" applyBorder="1" applyAlignment="1">
      <alignment horizontal="center" vertical="top" wrapText="1"/>
    </xf>
    <xf numFmtId="166" fontId="4" fillId="0" borderId="40" xfId="0" applyNumberFormat="1" applyFont="1" applyBorder="1" applyAlignment="1">
      <alignment vertical="center"/>
    </xf>
    <xf numFmtId="164" fontId="4" fillId="0" borderId="41" xfId="0" applyNumberFormat="1" applyFont="1" applyBorder="1" applyAlignment="1">
      <alignment vertical="center"/>
    </xf>
    <xf numFmtId="164" fontId="4" fillId="0" borderId="40" xfId="0" applyNumberFormat="1" applyFont="1" applyFill="1" applyBorder="1" applyAlignment="1">
      <alignment vertical="center"/>
    </xf>
    <xf numFmtId="0" fontId="25" fillId="0" borderId="17" xfId="0" applyFont="1" applyBorder="1" applyAlignment="1">
      <alignment horizontal="center" vertical="center" wrapText="1"/>
    </xf>
    <xf numFmtId="3" fontId="25" fillId="0" borderId="32" xfId="0" applyNumberFormat="1" applyFont="1" applyFill="1" applyBorder="1" applyAlignment="1">
      <alignment horizontal="center" vertical="center" wrapText="1"/>
    </xf>
    <xf numFmtId="3" fontId="25" fillId="0" borderId="17" xfId="0" applyNumberFormat="1" applyFont="1" applyFill="1" applyBorder="1" applyAlignment="1">
      <alignment horizontal="center" vertical="center" wrapText="1"/>
    </xf>
    <xf numFmtId="0" fontId="28" fillId="4" borderId="17" xfId="0" applyFont="1" applyFill="1" applyBorder="1" applyAlignment="1">
      <alignment horizontal="center" vertical="center" wrapText="1"/>
    </xf>
    <xf numFmtId="0" fontId="28" fillId="4" borderId="20" xfId="0" applyFont="1" applyFill="1" applyBorder="1" applyAlignment="1">
      <alignment horizontal="center" vertical="center" wrapText="1"/>
    </xf>
    <xf numFmtId="0" fontId="28" fillId="4" borderId="21" xfId="0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166" fontId="0" fillId="0" borderId="20" xfId="0" applyNumberFormat="1" applyFont="1" applyFill="1" applyBorder="1" applyAlignment="1">
      <alignment horizontal="right" vertical="center"/>
    </xf>
    <xf numFmtId="0" fontId="3" fillId="10" borderId="42" xfId="0" applyFont="1" applyFill="1" applyBorder="1" applyAlignment="1">
      <alignment horizontal="center" vertical="center" wrapText="1"/>
    </xf>
    <xf numFmtId="0" fontId="3" fillId="10" borderId="43" xfId="0" applyFont="1" applyFill="1" applyBorder="1" applyAlignment="1">
      <alignment horizontal="center" vertical="center" wrapText="1"/>
    </xf>
    <xf numFmtId="0" fontId="3" fillId="10" borderId="44" xfId="0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top" wrapText="1"/>
    </xf>
    <xf numFmtId="0" fontId="4" fillId="10" borderId="28" xfId="0" applyFont="1" applyFill="1" applyBorder="1" applyAlignment="1">
      <alignment horizontal="center" vertical="top" wrapText="1"/>
    </xf>
    <xf numFmtId="0" fontId="3" fillId="10" borderId="45" xfId="0" applyFont="1" applyFill="1" applyBorder="1" applyAlignment="1">
      <alignment horizontal="center" vertical="center" wrapText="1"/>
    </xf>
    <xf numFmtId="0" fontId="3" fillId="10" borderId="29" xfId="0" applyFont="1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4" fillId="10" borderId="26" xfId="0" applyFont="1" applyFill="1" applyBorder="1" applyAlignment="1">
      <alignment horizontal="center" vertical="top" wrapText="1"/>
    </xf>
    <xf numFmtId="0" fontId="3" fillId="10" borderId="46" xfId="0" applyFont="1" applyFill="1" applyBorder="1" applyAlignment="1">
      <alignment horizontal="center" vertical="center"/>
    </xf>
    <xf numFmtId="0" fontId="3" fillId="10" borderId="47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top" wrapText="1"/>
    </xf>
    <xf numFmtId="0" fontId="4" fillId="10" borderId="48" xfId="0" applyFont="1" applyFill="1" applyBorder="1" applyAlignment="1">
      <alignment horizontal="center" vertical="top" wrapText="1"/>
    </xf>
    <xf numFmtId="0" fontId="3" fillId="10" borderId="42" xfId="0" applyFont="1" applyFill="1" applyBorder="1" applyAlignment="1">
      <alignment horizontal="center" vertical="top" textRotation="90" wrapText="1"/>
    </xf>
    <xf numFmtId="0" fontId="3" fillId="10" borderId="45" xfId="0" applyFont="1" applyFill="1" applyBorder="1" applyAlignment="1">
      <alignment horizontal="center" vertical="top" textRotation="90" wrapText="1"/>
    </xf>
    <xf numFmtId="0" fontId="3" fillId="10" borderId="29" xfId="0" applyFont="1" applyFill="1" applyBorder="1" applyAlignment="1">
      <alignment horizontal="center" vertical="center"/>
    </xf>
    <xf numFmtId="0" fontId="3" fillId="10" borderId="38" xfId="0" applyFont="1" applyFill="1" applyBorder="1" applyAlignment="1">
      <alignment horizontal="center" vertical="center"/>
    </xf>
    <xf numFmtId="0" fontId="3" fillId="10" borderId="37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6" fillId="4" borderId="51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3" fontId="8" fillId="0" borderId="49" xfId="0" applyNumberFormat="1" applyFont="1" applyBorder="1" applyAlignment="1">
      <alignment horizontal="center" vertical="center" wrapText="1"/>
    </xf>
    <xf numFmtId="3" fontId="8" fillId="0" borderId="50" xfId="0" applyNumberFormat="1" applyFont="1" applyBorder="1" applyAlignment="1">
      <alignment horizontal="center" vertical="center" wrapText="1"/>
    </xf>
    <xf numFmtId="3" fontId="8" fillId="0" borderId="51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6" fillId="4" borderId="52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53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3" fontId="8" fillId="0" borderId="54" xfId="0" applyNumberFormat="1" applyFont="1" applyBorder="1" applyAlignment="1">
      <alignment horizontal="center" vertical="center" wrapText="1"/>
    </xf>
    <xf numFmtId="3" fontId="8" fillId="0" borderId="55" xfId="0" applyNumberFormat="1" applyFont="1" applyBorder="1" applyAlignment="1">
      <alignment horizontal="center" vertical="center" wrapText="1"/>
    </xf>
    <xf numFmtId="3" fontId="8" fillId="0" borderId="56" xfId="0" applyNumberFormat="1" applyFont="1" applyBorder="1" applyAlignment="1">
      <alignment horizontal="center" vertical="center" wrapText="1"/>
    </xf>
    <xf numFmtId="0" fontId="6" fillId="4" borderId="57" xfId="0" applyFont="1" applyFill="1" applyBorder="1" applyAlignment="1">
      <alignment horizontal="center" vertical="center" wrapText="1"/>
    </xf>
    <xf numFmtId="0" fontId="6" fillId="4" borderId="58" xfId="0" applyFont="1" applyFill="1" applyBorder="1" applyAlignment="1">
      <alignment horizontal="center" vertical="center" wrapText="1"/>
    </xf>
    <xf numFmtId="49" fontId="2" fillId="4" borderId="17" xfId="0" applyNumberFormat="1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49" xfId="0" applyFont="1" applyFill="1" applyBorder="1" applyAlignment="1">
      <alignment horizontal="center" vertical="center" wrapText="1"/>
    </xf>
    <xf numFmtId="0" fontId="24" fillId="4" borderId="50" xfId="0" applyFont="1" applyFill="1" applyBorder="1" applyAlignment="1">
      <alignment horizontal="center" vertical="center" wrapText="1"/>
    </xf>
    <xf numFmtId="0" fontId="24" fillId="4" borderId="5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3" fontId="8" fillId="0" borderId="59" xfId="0" applyNumberFormat="1" applyFont="1" applyFill="1" applyBorder="1" applyAlignment="1">
      <alignment horizontal="center" vertical="center" wrapText="1"/>
    </xf>
    <xf numFmtId="3" fontId="8" fillId="0" borderId="35" xfId="0" applyNumberFormat="1" applyFont="1" applyFill="1" applyBorder="1" applyAlignment="1">
      <alignment horizontal="center" vertical="center" wrapText="1"/>
    </xf>
    <xf numFmtId="3" fontId="8" fillId="0" borderId="60" xfId="0" applyNumberFormat="1" applyFont="1" applyFill="1" applyBorder="1" applyAlignment="1">
      <alignment horizontal="center" vertical="center" wrapText="1"/>
    </xf>
    <xf numFmtId="0" fontId="25" fillId="6" borderId="57" xfId="0" applyFont="1" applyFill="1" applyBorder="1" applyAlignment="1">
      <alignment horizontal="center" vertical="top" wrapText="1"/>
    </xf>
    <xf numFmtId="0" fontId="25" fillId="6" borderId="17" xfId="0" applyFont="1" applyFill="1" applyBorder="1" applyAlignment="1">
      <alignment horizontal="center" vertical="top" wrapText="1"/>
    </xf>
    <xf numFmtId="0" fontId="25" fillId="6" borderId="20" xfId="0" applyFont="1" applyFill="1" applyBorder="1" applyAlignment="1">
      <alignment horizontal="center" vertical="top" wrapText="1"/>
    </xf>
    <xf numFmtId="0" fontId="22" fillId="6" borderId="57" xfId="0" applyFont="1" applyFill="1" applyBorder="1" applyAlignment="1">
      <alignment horizontal="center" vertical="center" wrapText="1"/>
    </xf>
    <xf numFmtId="0" fontId="22" fillId="6" borderId="17" xfId="0" applyFont="1" applyFill="1" applyBorder="1" applyAlignment="1">
      <alignment horizontal="center" vertical="center" wrapText="1"/>
    </xf>
    <xf numFmtId="0" fontId="22" fillId="6" borderId="57" xfId="0" applyFont="1" applyFill="1" applyBorder="1" applyAlignment="1">
      <alignment horizontal="center"/>
    </xf>
    <xf numFmtId="0" fontId="22" fillId="6" borderId="58" xfId="0" applyFont="1" applyFill="1" applyBorder="1" applyAlignment="1">
      <alignment horizontal="center"/>
    </xf>
    <xf numFmtId="0" fontId="22" fillId="6" borderId="17" xfId="0" applyFont="1" applyFill="1" applyBorder="1" applyAlignment="1">
      <alignment horizontal="center" vertical="center"/>
    </xf>
    <xf numFmtId="3" fontId="8" fillId="0" borderId="54" xfId="0" applyNumberFormat="1" applyFont="1" applyBorder="1" applyAlignment="1">
      <alignment horizontal="center" vertical="center" wrapText="1"/>
    </xf>
    <xf numFmtId="3" fontId="8" fillId="0" borderId="55" xfId="0" applyNumberFormat="1" applyFont="1" applyBorder="1" applyAlignment="1">
      <alignment horizontal="center" vertical="center" wrapText="1"/>
    </xf>
    <xf numFmtId="3" fontId="8" fillId="0" borderId="56" xfId="0" applyNumberFormat="1" applyFont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center" vertical="center"/>
    </xf>
    <xf numFmtId="0" fontId="28" fillId="6" borderId="17" xfId="0" applyFont="1" applyFill="1" applyBorder="1" applyAlignment="1">
      <alignment horizontal="center" vertical="center" wrapText="1"/>
    </xf>
    <xf numFmtId="0" fontId="28" fillId="6" borderId="19" xfId="0" applyFont="1" applyFill="1" applyBorder="1" applyAlignment="1">
      <alignment horizontal="center" vertical="center" wrapText="1"/>
    </xf>
    <xf numFmtId="0" fontId="2" fillId="6" borderId="53" xfId="0" applyFont="1" applyFill="1" applyBorder="1" applyAlignment="1">
      <alignment horizontal="center" vertical="top" wrapText="1"/>
    </xf>
    <xf numFmtId="0" fontId="2" fillId="6" borderId="18" xfId="0" applyFont="1" applyFill="1" applyBorder="1" applyAlignment="1">
      <alignment horizontal="center" vertical="top" wrapText="1"/>
    </xf>
    <xf numFmtId="0" fontId="2" fillId="6" borderId="34" xfId="0" applyFont="1" applyFill="1" applyBorder="1" applyAlignment="1">
      <alignment horizontal="center" vertical="top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0" fontId="28" fillId="4" borderId="17" xfId="0" applyFont="1" applyFill="1" applyBorder="1" applyAlignment="1">
      <alignment horizontal="center" vertical="center" wrapText="1"/>
    </xf>
    <xf numFmtId="0" fontId="28" fillId="4" borderId="19" xfId="0" applyFont="1" applyFill="1" applyBorder="1" applyAlignment="1">
      <alignment horizontal="center" vertical="center" wrapText="1"/>
    </xf>
    <xf numFmtId="0" fontId="61" fillId="0" borderId="61" xfId="0" applyFont="1" applyBorder="1" applyAlignment="1">
      <alignment horizontal="center" vertical="center" wrapText="1"/>
    </xf>
    <xf numFmtId="0" fontId="61" fillId="0" borderId="55" xfId="0" applyFont="1" applyBorder="1" applyAlignment="1">
      <alignment horizontal="center" vertical="center" wrapText="1"/>
    </xf>
    <xf numFmtId="0" fontId="61" fillId="0" borderId="62" xfId="0" applyFont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34" xfId="0" applyFont="1" applyFill="1" applyBorder="1" applyAlignment="1">
      <alignment horizontal="center" vertical="top" wrapText="1"/>
    </xf>
    <xf numFmtId="0" fontId="2" fillId="4" borderId="57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8" fillId="4" borderId="57" xfId="0" applyFont="1" applyFill="1" applyBorder="1" applyAlignment="1">
      <alignment horizontal="center" vertical="top" wrapText="1"/>
    </xf>
    <xf numFmtId="0" fontId="28" fillId="4" borderId="17" xfId="0" applyFont="1" applyFill="1" applyBorder="1" applyAlignment="1">
      <alignment horizontal="center" vertical="top" wrapText="1"/>
    </xf>
    <xf numFmtId="0" fontId="28" fillId="4" borderId="20" xfId="0" applyFont="1" applyFill="1" applyBorder="1" applyAlignment="1">
      <alignment horizontal="center" vertical="top" wrapText="1"/>
    </xf>
    <xf numFmtId="0" fontId="22" fillId="4" borderId="57" xfId="0" applyFont="1" applyFill="1" applyBorder="1" applyAlignment="1">
      <alignment horizontal="center" vertical="center" wrapText="1"/>
    </xf>
    <xf numFmtId="0" fontId="29" fillId="4" borderId="57" xfId="0" applyFont="1" applyFill="1" applyBorder="1" applyAlignment="1">
      <alignment horizontal="center" wrapText="1"/>
    </xf>
    <xf numFmtId="0" fontId="29" fillId="4" borderId="58" xfId="0" applyFont="1" applyFill="1" applyBorder="1" applyAlignment="1">
      <alignment horizont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6" fillId="4" borderId="65" xfId="0" applyFont="1" applyFill="1" applyBorder="1" applyAlignment="1">
      <alignment horizontal="center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6" xfId="33"/>
    <cellStyle name="F7" xfId="34"/>
    <cellStyle name="pNormal" xfId="35"/>
    <cellStyle name="pUnit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120" zoomScaleNormal="120" workbookViewId="0" topLeftCell="A1">
      <selection activeCell="E10" sqref="E10:F10"/>
    </sheetView>
  </sheetViews>
  <sheetFormatPr defaultColWidth="9.00390625" defaultRowHeight="12.75"/>
  <cols>
    <col min="1" max="1" width="23.375" style="6" customWidth="1"/>
    <col min="2" max="2" width="4.875" style="32" customWidth="1"/>
    <col min="3" max="3" width="7.25390625" style="6" customWidth="1"/>
    <col min="4" max="4" width="8.00390625" style="31" customWidth="1"/>
    <col min="5" max="5" width="8.125" style="31" customWidth="1"/>
    <col min="6" max="6" width="7.125" style="31" customWidth="1"/>
    <col min="7" max="7" width="6.75390625" style="31" customWidth="1"/>
    <col min="8" max="8" width="8.125" style="31" customWidth="1"/>
    <col min="9" max="9" width="6.75390625" style="31" customWidth="1"/>
    <col min="10" max="10" width="8.25390625" style="31" customWidth="1"/>
    <col min="11" max="11" width="6.75390625" style="31" customWidth="1"/>
    <col min="12" max="12" width="2.75390625" style="6" customWidth="1"/>
    <col min="13" max="13" width="5.125" style="6" customWidth="1"/>
    <col min="14" max="14" width="5.875" style="6" customWidth="1"/>
    <col min="15" max="15" width="5.125" style="6" customWidth="1"/>
    <col min="16" max="16" width="5.875" style="6" customWidth="1"/>
    <col min="17" max="17" width="5.125" style="6" customWidth="1"/>
    <col min="18" max="18" width="5.875" style="6" customWidth="1"/>
    <col min="19" max="19" width="5.125" style="6" customWidth="1"/>
    <col min="20" max="20" width="5.875" style="6" customWidth="1"/>
    <col min="21" max="16384" width="9.125" style="6" customWidth="1"/>
  </cols>
  <sheetData>
    <row r="1" spans="1:11" s="1" customFormat="1" ht="15.75">
      <c r="A1" s="105" t="s">
        <v>0</v>
      </c>
      <c r="B1" s="2"/>
      <c r="D1" s="3"/>
      <c r="E1" s="3"/>
      <c r="F1" s="3"/>
      <c r="G1" s="3"/>
      <c r="H1" s="3"/>
      <c r="I1" s="3"/>
      <c r="J1" s="3"/>
      <c r="K1" s="3"/>
    </row>
    <row r="2" spans="2:11" s="1" customFormat="1" ht="15.75">
      <c r="B2" s="2"/>
      <c r="D2" s="3"/>
      <c r="E2" s="3"/>
      <c r="F2" s="3"/>
      <c r="G2" s="3"/>
      <c r="H2" s="3"/>
      <c r="I2" s="3"/>
      <c r="J2" s="3"/>
      <c r="K2" s="3"/>
    </row>
    <row r="4" spans="1:20" s="4" customFormat="1" ht="27" customHeight="1">
      <c r="A4" s="246" t="s">
        <v>1</v>
      </c>
      <c r="B4" s="245" t="s">
        <v>2</v>
      </c>
      <c r="C4" s="251" t="s">
        <v>3</v>
      </c>
      <c r="D4" s="252"/>
      <c r="E4" s="251">
        <v>2016</v>
      </c>
      <c r="F4" s="253"/>
      <c r="G4" s="251">
        <v>2017</v>
      </c>
      <c r="H4" s="253"/>
      <c r="I4" s="251">
        <v>2018</v>
      </c>
      <c r="J4" s="252"/>
      <c r="K4" s="129">
        <v>2019</v>
      </c>
      <c r="L4" s="259" t="s">
        <v>4</v>
      </c>
      <c r="M4" s="261" t="s">
        <v>5</v>
      </c>
      <c r="N4" s="262"/>
      <c r="O4" s="261" t="s">
        <v>6</v>
      </c>
      <c r="P4" s="263"/>
      <c r="Q4" s="255" t="s">
        <v>7</v>
      </c>
      <c r="R4" s="255"/>
      <c r="S4" s="255" t="s">
        <v>184</v>
      </c>
      <c r="T4" s="256"/>
    </row>
    <row r="5" spans="1:20" ht="34.5" customHeight="1">
      <c r="A5" s="247"/>
      <c r="B5" s="250"/>
      <c r="C5" s="5" t="s">
        <v>9</v>
      </c>
      <c r="D5" s="5" t="s">
        <v>8</v>
      </c>
      <c r="E5" s="5" t="s">
        <v>10</v>
      </c>
      <c r="F5" s="5" t="s">
        <v>9</v>
      </c>
      <c r="G5" s="5" t="s">
        <v>11</v>
      </c>
      <c r="H5" s="5" t="s">
        <v>10</v>
      </c>
      <c r="I5" s="5" t="s">
        <v>11</v>
      </c>
      <c r="J5" s="5" t="s">
        <v>10</v>
      </c>
      <c r="K5" s="5" t="s">
        <v>11</v>
      </c>
      <c r="L5" s="260"/>
      <c r="M5" s="248" t="s">
        <v>186</v>
      </c>
      <c r="N5" s="249"/>
      <c r="O5" s="248" t="s">
        <v>187</v>
      </c>
      <c r="P5" s="254"/>
      <c r="Q5" s="257" t="s">
        <v>12</v>
      </c>
      <c r="R5" s="257"/>
      <c r="S5" s="257" t="s">
        <v>12</v>
      </c>
      <c r="T5" s="258"/>
    </row>
    <row r="6" spans="1:20" s="10" customFormat="1" ht="10.5" customHeight="1">
      <c r="A6" s="117" t="s">
        <v>13</v>
      </c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218"/>
      <c r="R6" s="219"/>
      <c r="S6" s="225"/>
      <c r="T6" s="226"/>
    </row>
    <row r="7" spans="1:20" ht="22.5">
      <c r="A7" s="118" t="s">
        <v>14</v>
      </c>
      <c r="B7" s="11" t="s">
        <v>15</v>
      </c>
      <c r="C7" s="13">
        <v>40798.507</v>
      </c>
      <c r="D7" s="12">
        <v>42142.896</v>
      </c>
      <c r="E7" s="13">
        <v>47241.745</v>
      </c>
      <c r="F7" s="14">
        <v>46986.815</v>
      </c>
      <c r="G7" s="13">
        <v>51662.046</v>
      </c>
      <c r="H7" s="14">
        <v>50775.538</v>
      </c>
      <c r="I7" s="13">
        <v>56402.958</v>
      </c>
      <c r="J7" s="14">
        <v>54523.477</v>
      </c>
      <c r="K7" s="12">
        <v>58454.807</v>
      </c>
      <c r="L7" s="15"/>
      <c r="M7" s="16">
        <v>1344.3890000000029</v>
      </c>
      <c r="N7" s="17">
        <v>1.0329519165983208</v>
      </c>
      <c r="O7" s="16">
        <v>-254.9300000000003</v>
      </c>
      <c r="P7" s="17">
        <v>0.9946037133048324</v>
      </c>
      <c r="Q7" s="220">
        <v>-886.5080000000016</v>
      </c>
      <c r="R7" s="17">
        <v>0.9828402460096141</v>
      </c>
      <c r="S7" s="16">
        <v>-1879.4809999999998</v>
      </c>
      <c r="T7" s="227">
        <v>0.9666776164469956</v>
      </c>
    </row>
    <row r="8" spans="1:20" ht="11.25">
      <c r="A8" s="119" t="s">
        <v>16</v>
      </c>
      <c r="B8" s="11" t="s">
        <v>17</v>
      </c>
      <c r="C8" s="19">
        <v>95.6</v>
      </c>
      <c r="D8" s="18">
        <v>102</v>
      </c>
      <c r="E8" s="19">
        <v>108.6</v>
      </c>
      <c r="F8" s="20">
        <v>105.7</v>
      </c>
      <c r="G8" s="19">
        <v>103.8</v>
      </c>
      <c r="H8" s="20">
        <v>102.7</v>
      </c>
      <c r="I8" s="19">
        <v>103.7</v>
      </c>
      <c r="J8" s="20">
        <v>102.3</v>
      </c>
      <c r="K8" s="18">
        <v>102.5</v>
      </c>
      <c r="L8" s="15" t="s">
        <v>17</v>
      </c>
      <c r="M8" s="16"/>
      <c r="N8" s="21">
        <v>6.400000000000006</v>
      </c>
      <c r="O8" s="16"/>
      <c r="P8" s="21">
        <v>-2.8999999999999915</v>
      </c>
      <c r="Q8" s="220"/>
      <c r="R8" s="221">
        <v>-1.0999999999999943</v>
      </c>
      <c r="S8" s="228"/>
      <c r="T8" s="229">
        <v>-1.4000000000000057</v>
      </c>
    </row>
    <row r="9" spans="1:20" s="10" customFormat="1" ht="10.5" customHeight="1">
      <c r="A9" s="120" t="s">
        <v>18</v>
      </c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N9" s="23"/>
      <c r="O9" s="24"/>
      <c r="P9" s="23"/>
      <c r="Q9" s="24"/>
      <c r="R9" s="222"/>
      <c r="S9" s="230"/>
      <c r="T9" s="231"/>
    </row>
    <row r="10" spans="1:20" ht="11.25" customHeight="1">
      <c r="A10" s="118" t="s">
        <v>19</v>
      </c>
      <c r="B10" s="11" t="s">
        <v>15</v>
      </c>
      <c r="C10" s="13">
        <v>5809.99</v>
      </c>
      <c r="D10" s="12">
        <v>5780.192</v>
      </c>
      <c r="E10" s="13">
        <v>6259.8</v>
      </c>
      <c r="F10" s="14">
        <v>5734.738</v>
      </c>
      <c r="G10" s="13">
        <v>6678.15</v>
      </c>
      <c r="H10" s="14">
        <v>5957.62</v>
      </c>
      <c r="I10" s="13">
        <v>7100.6</v>
      </c>
      <c r="J10" s="14">
        <v>6102.924</v>
      </c>
      <c r="K10" s="12">
        <v>6366.373</v>
      </c>
      <c r="L10" s="15"/>
      <c r="M10" s="16">
        <v>-29.797999999999774</v>
      </c>
      <c r="N10" s="17">
        <v>0.9948712476269322</v>
      </c>
      <c r="O10" s="16">
        <v>-525.0619999999999</v>
      </c>
      <c r="P10" s="17">
        <v>0.916121601329116</v>
      </c>
      <c r="Q10" s="220">
        <v>-720.5299999999997</v>
      </c>
      <c r="R10" s="17">
        <v>0.8921063468176067</v>
      </c>
      <c r="S10" s="16">
        <v>-997.6760000000004</v>
      </c>
      <c r="T10" s="227">
        <v>0.8594941272568515</v>
      </c>
    </row>
    <row r="11" spans="1:20" ht="11.25">
      <c r="A11" s="119" t="s">
        <v>16</v>
      </c>
      <c r="B11" s="11" t="s">
        <v>17</v>
      </c>
      <c r="C11" s="19">
        <v>84.4</v>
      </c>
      <c r="D11" s="18">
        <v>87.5</v>
      </c>
      <c r="E11" s="19">
        <v>102.3</v>
      </c>
      <c r="F11" s="20">
        <v>96.1</v>
      </c>
      <c r="G11" s="19">
        <v>101</v>
      </c>
      <c r="H11" s="20">
        <v>100.6</v>
      </c>
      <c r="I11" s="19">
        <v>100.6</v>
      </c>
      <c r="J11" s="20">
        <v>98.5</v>
      </c>
      <c r="K11" s="18">
        <v>100.5</v>
      </c>
      <c r="L11" s="15" t="s">
        <v>17</v>
      </c>
      <c r="M11" s="16"/>
      <c r="N11" s="21">
        <v>3.0999999999999943</v>
      </c>
      <c r="O11" s="16"/>
      <c r="P11" s="21">
        <v>-6.200000000000003</v>
      </c>
      <c r="Q11" s="220"/>
      <c r="R11" s="221">
        <v>-0.4000000000000057</v>
      </c>
      <c r="S11" s="228"/>
      <c r="T11" s="229">
        <v>-2.09999999999999</v>
      </c>
    </row>
    <row r="12" spans="1:20" ht="33.75">
      <c r="A12" s="118" t="s">
        <v>20</v>
      </c>
      <c r="B12" s="11" t="s">
        <v>15</v>
      </c>
      <c r="C12" s="13">
        <v>7430.111</v>
      </c>
      <c r="D12" s="12">
        <v>7833.026</v>
      </c>
      <c r="E12" s="13">
        <v>7693.956</v>
      </c>
      <c r="F12" s="14">
        <v>8241.676</v>
      </c>
      <c r="G12" s="13">
        <v>7463.609</v>
      </c>
      <c r="H12" s="14">
        <v>7824.792</v>
      </c>
      <c r="I12" s="13">
        <v>7596.593</v>
      </c>
      <c r="J12" s="14">
        <v>6938.426</v>
      </c>
      <c r="K12" s="12">
        <v>6606.547</v>
      </c>
      <c r="L12" s="15"/>
      <c r="M12" s="16">
        <v>402.91499999999996</v>
      </c>
      <c r="N12" s="17">
        <v>1.0542273190804283</v>
      </c>
      <c r="O12" s="16">
        <v>547.7199999999993</v>
      </c>
      <c r="P12" s="17">
        <v>1.07118834576127</v>
      </c>
      <c r="Q12" s="220">
        <v>361.183</v>
      </c>
      <c r="R12" s="17">
        <v>1.0483925403916523</v>
      </c>
      <c r="S12" s="16">
        <v>-658.1669999999995</v>
      </c>
      <c r="T12" s="227">
        <v>0.9133602392546238</v>
      </c>
    </row>
    <row r="13" spans="1:20" ht="11.25">
      <c r="A13" s="119" t="s">
        <v>16</v>
      </c>
      <c r="B13" s="11" t="s">
        <v>17</v>
      </c>
      <c r="C13" s="19">
        <v>74.8</v>
      </c>
      <c r="D13" s="18">
        <v>76.8</v>
      </c>
      <c r="E13" s="19">
        <v>94.7</v>
      </c>
      <c r="F13" s="20">
        <v>99.3</v>
      </c>
      <c r="G13" s="19">
        <v>89.4</v>
      </c>
      <c r="H13" s="20">
        <v>90.1</v>
      </c>
      <c r="I13" s="19">
        <v>94.2</v>
      </c>
      <c r="J13" s="20">
        <v>84.4</v>
      </c>
      <c r="K13" s="18">
        <v>91</v>
      </c>
      <c r="L13" s="15" t="s">
        <v>17</v>
      </c>
      <c r="M13" s="16"/>
      <c r="N13" s="21">
        <v>2</v>
      </c>
      <c r="O13" s="16"/>
      <c r="P13" s="21">
        <v>4.599999999999994</v>
      </c>
      <c r="Q13" s="220"/>
      <c r="R13" s="221">
        <v>0.6999999999999886</v>
      </c>
      <c r="S13" s="228"/>
      <c r="T13" s="229">
        <v>-9.799999999999997</v>
      </c>
    </row>
    <row r="14" spans="1:20" s="10" customFormat="1" ht="10.5" customHeight="1">
      <c r="A14" s="120" t="s">
        <v>21</v>
      </c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/>
      <c r="N14" s="23"/>
      <c r="O14" s="24"/>
      <c r="P14" s="23"/>
      <c r="Q14" s="24"/>
      <c r="R14" s="222"/>
      <c r="S14" s="230"/>
      <c r="T14" s="231"/>
    </row>
    <row r="15" spans="1:20" ht="22.5">
      <c r="A15" s="118" t="s">
        <v>22</v>
      </c>
      <c r="B15" s="11" t="s">
        <v>23</v>
      </c>
      <c r="C15" s="19">
        <v>111</v>
      </c>
      <c r="D15" s="26">
        <v>111.36</v>
      </c>
      <c r="E15" s="19">
        <v>111.565</v>
      </c>
      <c r="F15" s="25">
        <v>114.06</v>
      </c>
      <c r="G15" s="19">
        <v>112.565</v>
      </c>
      <c r="H15" s="25">
        <v>116.06</v>
      </c>
      <c r="I15" s="19">
        <v>113.565</v>
      </c>
      <c r="J15" s="25">
        <v>117.96</v>
      </c>
      <c r="K15" s="26">
        <v>119.76</v>
      </c>
      <c r="L15" s="15"/>
      <c r="M15" s="115">
        <f>D15-C15</f>
        <v>0.35999999999999943</v>
      </c>
      <c r="N15" s="116">
        <f>D15/C15</f>
        <v>1.0032432432432432</v>
      </c>
      <c r="O15" s="115">
        <f>F15-E15</f>
        <v>2.4950000000000045</v>
      </c>
      <c r="P15" s="116">
        <f>F15/E15</f>
        <v>1.0223636445121678</v>
      </c>
      <c r="Q15" s="115">
        <f>H15-G15</f>
        <v>3.4950000000000045</v>
      </c>
      <c r="R15" s="116">
        <f>H15/G15</f>
        <v>1.0310487274019455</v>
      </c>
      <c r="S15" s="115">
        <f>J15-I15</f>
        <v>4.394999999999996</v>
      </c>
      <c r="T15" s="234">
        <f>J15/I15</f>
        <v>1.0387003037907805</v>
      </c>
    </row>
    <row r="16" spans="1:20" ht="33.75">
      <c r="A16" s="118" t="s">
        <v>24</v>
      </c>
      <c r="B16" s="11" t="s">
        <v>23</v>
      </c>
      <c r="C16" s="29">
        <v>56.9</v>
      </c>
      <c r="D16" s="28">
        <v>48.3</v>
      </c>
      <c r="E16" s="29">
        <v>57.2</v>
      </c>
      <c r="F16" s="20">
        <v>48.112</v>
      </c>
      <c r="G16" s="29">
        <v>57.5</v>
      </c>
      <c r="H16" s="20">
        <v>48.197</v>
      </c>
      <c r="I16" s="29">
        <v>57.7</v>
      </c>
      <c r="J16" s="20">
        <v>48.369</v>
      </c>
      <c r="K16" s="18">
        <v>48.54</v>
      </c>
      <c r="L16" s="15"/>
      <c r="M16" s="27">
        <v>-8.600000000000001</v>
      </c>
      <c r="N16" s="17">
        <v>0.8488576449912126</v>
      </c>
      <c r="O16" s="27">
        <v>-9.088000000000001</v>
      </c>
      <c r="P16" s="17">
        <v>0.8411188811188811</v>
      </c>
      <c r="Q16" s="223">
        <v>-9.302999999999997</v>
      </c>
      <c r="R16" s="17">
        <v>0.8382086956521739</v>
      </c>
      <c r="S16" s="27">
        <v>-9.331000000000003</v>
      </c>
      <c r="T16" s="227">
        <v>0.8382842287694974</v>
      </c>
    </row>
    <row r="17" spans="1:20" s="10" customFormat="1" ht="10.5" customHeight="1">
      <c r="A17" s="120" t="s">
        <v>25</v>
      </c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/>
      <c r="N17" s="23"/>
      <c r="O17" s="24"/>
      <c r="P17" s="23"/>
      <c r="Q17" s="24"/>
      <c r="R17" s="222"/>
      <c r="S17" s="230"/>
      <c r="T17" s="231"/>
    </row>
    <row r="18" spans="1:20" ht="21" customHeight="1">
      <c r="A18" s="118" t="s">
        <v>26</v>
      </c>
      <c r="B18" s="11" t="s">
        <v>15</v>
      </c>
      <c r="C18" s="13">
        <v>21845.127</v>
      </c>
      <c r="D18" s="12">
        <v>20173.333</v>
      </c>
      <c r="E18" s="13">
        <v>22943.357</v>
      </c>
      <c r="F18" s="14">
        <v>20700</v>
      </c>
      <c r="G18" s="13">
        <v>24434.55</v>
      </c>
      <c r="H18" s="14">
        <v>21460</v>
      </c>
      <c r="I18" s="13">
        <v>26258.432</v>
      </c>
      <c r="J18" s="14">
        <v>22400</v>
      </c>
      <c r="K18" s="12">
        <v>23500</v>
      </c>
      <c r="L18" s="15"/>
      <c r="M18" s="16">
        <v>-1671.7940000000017</v>
      </c>
      <c r="N18" s="17">
        <v>0.9234706211595839</v>
      </c>
      <c r="O18" s="16">
        <v>-2243.357</v>
      </c>
      <c r="P18" s="17">
        <v>0.9022219372692497</v>
      </c>
      <c r="Q18" s="220">
        <v>-2974.5499999999993</v>
      </c>
      <c r="R18" s="17">
        <v>0.8782645884618296</v>
      </c>
      <c r="S18" s="16">
        <v>-3858.4320000000007</v>
      </c>
      <c r="T18" s="227">
        <v>0.8530593144327887</v>
      </c>
    </row>
    <row r="19" spans="1:20" ht="11.25">
      <c r="A19" s="119" t="s">
        <v>27</v>
      </c>
      <c r="B19" s="11" t="s">
        <v>17</v>
      </c>
      <c r="C19" s="19">
        <v>101.1241449168852</v>
      </c>
      <c r="D19" s="26">
        <v>96.03119655666269</v>
      </c>
      <c r="E19" s="19">
        <v>105.02734545786802</v>
      </c>
      <c r="F19" s="25">
        <v>102.61070889971428</v>
      </c>
      <c r="G19" s="19">
        <v>106.49945428648475</v>
      </c>
      <c r="H19" s="25">
        <v>103.67149758454106</v>
      </c>
      <c r="I19" s="19">
        <v>122.3598881640261</v>
      </c>
      <c r="J19" s="25">
        <v>104.38024231127679</v>
      </c>
      <c r="K19" s="18">
        <f>K18/J18*100</f>
        <v>104.91071428571428</v>
      </c>
      <c r="L19" s="15" t="s">
        <v>17</v>
      </c>
      <c r="M19" s="16"/>
      <c r="N19" s="21">
        <v>-5.092948360222508</v>
      </c>
      <c r="O19" s="16"/>
      <c r="P19" s="21">
        <v>-2.4166365581537406</v>
      </c>
      <c r="Q19" s="220"/>
      <c r="R19" s="21">
        <v>-2.827956701943691</v>
      </c>
      <c r="S19" s="16"/>
      <c r="T19" s="232">
        <v>-17.979645852749314</v>
      </c>
    </row>
    <row r="20" spans="1:20" ht="22.5">
      <c r="A20" s="118" t="s">
        <v>28</v>
      </c>
      <c r="B20" s="11" t="s">
        <v>29</v>
      </c>
      <c r="C20" s="13">
        <v>31993.449033391917</v>
      </c>
      <c r="D20" s="30">
        <v>34805.61249137336</v>
      </c>
      <c r="E20" s="13">
        <v>33425.63665501165</v>
      </c>
      <c r="F20" s="217">
        <v>35853.84103757898</v>
      </c>
      <c r="G20" s="13">
        <v>35412.39130434783</v>
      </c>
      <c r="H20" s="217">
        <v>37104.66073268737</v>
      </c>
      <c r="I20" s="13">
        <v>37923.78971692663</v>
      </c>
      <c r="J20" s="217">
        <v>38592.211264790814</v>
      </c>
      <c r="K20" s="30">
        <f>K18/K16/12*1000</f>
        <v>40344.73286636451</v>
      </c>
      <c r="L20" s="15"/>
      <c r="M20" s="16">
        <v>2812.1634579814418</v>
      </c>
      <c r="N20" s="17">
        <v>1.087898102359841</v>
      </c>
      <c r="O20" s="16">
        <v>2428.204382567332</v>
      </c>
      <c r="P20" s="17">
        <v>1.0726449703151206</v>
      </c>
      <c r="Q20" s="220">
        <v>1692.2694283395394</v>
      </c>
      <c r="R20" s="17">
        <v>1.0477874937559433</v>
      </c>
      <c r="S20" s="16">
        <v>668.4215478641854</v>
      </c>
      <c r="T20" s="227">
        <v>1.0176253890461229</v>
      </c>
    </row>
    <row r="21" spans="1:20" ht="11.25">
      <c r="A21" s="119" t="s">
        <v>27</v>
      </c>
      <c r="B21" s="11" t="s">
        <v>17</v>
      </c>
      <c r="C21" s="19">
        <v>100.76869976779244</v>
      </c>
      <c r="D21" s="26">
        <v>112.73227421869099</v>
      </c>
      <c r="E21" s="19">
        <v>104.47650273693512</v>
      </c>
      <c r="F21" s="25">
        <v>103.01166527802212</v>
      </c>
      <c r="G21" s="19">
        <v>105.94380495977269</v>
      </c>
      <c r="H21" s="25">
        <v>103.48866302440898</v>
      </c>
      <c r="I21" s="19">
        <v>102.20761750158694</v>
      </c>
      <c r="J21" s="25">
        <v>104.0090665235297</v>
      </c>
      <c r="K21" s="18">
        <f>K20/J20*100</f>
        <v>104.54112771499204</v>
      </c>
      <c r="L21" s="15" t="s">
        <v>17</v>
      </c>
      <c r="M21" s="16"/>
      <c r="N21" s="21">
        <v>11.963574450898548</v>
      </c>
      <c r="O21" s="16"/>
      <c r="P21" s="21">
        <v>-1.4648374589129958</v>
      </c>
      <c r="Q21" s="220"/>
      <c r="R21" s="221">
        <v>-2.455141935363713</v>
      </c>
      <c r="S21" s="228"/>
      <c r="T21" s="229">
        <v>1.8014490219427586</v>
      </c>
    </row>
    <row r="22" spans="1:20" s="10" customFormat="1" ht="10.5" customHeight="1">
      <c r="A22" s="120" t="s">
        <v>30</v>
      </c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  <c r="N22" s="23"/>
      <c r="O22" s="24"/>
      <c r="P22" s="23"/>
      <c r="Q22" s="24"/>
      <c r="R22" s="222"/>
      <c r="S22" s="230"/>
      <c r="T22" s="231"/>
    </row>
    <row r="23" spans="1:20" ht="33.75">
      <c r="A23" s="118" t="s">
        <v>31</v>
      </c>
      <c r="B23" s="11" t="s">
        <v>23</v>
      </c>
      <c r="C23" s="19">
        <v>24.816</v>
      </c>
      <c r="D23" s="18">
        <v>17.28</v>
      </c>
      <c r="E23" s="19">
        <v>25.016</v>
      </c>
      <c r="F23" s="20">
        <v>17.872</v>
      </c>
      <c r="G23" s="19">
        <v>25.216</v>
      </c>
      <c r="H23" s="20">
        <v>17.877</v>
      </c>
      <c r="I23" s="19">
        <v>25.316</v>
      </c>
      <c r="J23" s="20">
        <v>17.939</v>
      </c>
      <c r="K23" s="18">
        <v>18</v>
      </c>
      <c r="L23" s="15"/>
      <c r="M23" s="27">
        <v>-7.535999999999998</v>
      </c>
      <c r="N23" s="17">
        <v>0.6963249516441007</v>
      </c>
      <c r="O23" s="27">
        <v>-7.143999999999998</v>
      </c>
      <c r="P23" s="17">
        <v>0.7144227694275664</v>
      </c>
      <c r="Q23" s="223">
        <v>-7.339000000000002</v>
      </c>
      <c r="R23" s="17">
        <v>0.7089546319796953</v>
      </c>
      <c r="S23" s="27">
        <v>-7.376999999999999</v>
      </c>
      <c r="T23" s="227">
        <v>0.7086032548585874</v>
      </c>
    </row>
    <row r="24" spans="1:20" ht="33.75">
      <c r="A24" s="119" t="s">
        <v>32</v>
      </c>
      <c r="B24" s="11" t="s">
        <v>17</v>
      </c>
      <c r="C24" s="19">
        <v>43.61335676625659</v>
      </c>
      <c r="D24" s="26">
        <v>35.776397515527954</v>
      </c>
      <c r="E24" s="19">
        <v>43.73426573426573</v>
      </c>
      <c r="F24" s="26">
        <v>37.14665779847024</v>
      </c>
      <c r="G24" s="19">
        <v>43.853913043478265</v>
      </c>
      <c r="H24" s="26">
        <v>37.09152021910077</v>
      </c>
      <c r="I24" s="19">
        <v>43.87521663778163</v>
      </c>
      <c r="J24" s="25">
        <v>37.0878041720937</v>
      </c>
      <c r="K24" s="18">
        <f>K23/K16*100</f>
        <v>37.08281829419036</v>
      </c>
      <c r="L24" s="15" t="s">
        <v>17</v>
      </c>
      <c r="M24" s="16"/>
      <c r="N24" s="21">
        <v>-7.836959250728633</v>
      </c>
      <c r="O24" s="16"/>
      <c r="P24" s="21">
        <v>-6.587607935795496</v>
      </c>
      <c r="Q24" s="220"/>
      <c r="R24" s="21">
        <v>-6.762392824377493</v>
      </c>
      <c r="S24" s="16"/>
      <c r="T24" s="232">
        <v>-6.787412465687929</v>
      </c>
    </row>
    <row r="25" spans="1:20" ht="33.75">
      <c r="A25" s="118" t="s">
        <v>33</v>
      </c>
      <c r="B25" s="11" t="s">
        <v>15</v>
      </c>
      <c r="C25" s="13">
        <v>55128.3</v>
      </c>
      <c r="D25" s="12">
        <v>53006.796</v>
      </c>
      <c r="E25" s="13">
        <v>59428.198</v>
      </c>
      <c r="F25" s="14">
        <v>58061.313</v>
      </c>
      <c r="G25" s="13">
        <v>65403.676</v>
      </c>
      <c r="H25" s="14">
        <v>63129.28</v>
      </c>
      <c r="I25" s="13">
        <v>71650.565</v>
      </c>
      <c r="J25" s="14">
        <v>68210.913</v>
      </c>
      <c r="K25" s="12">
        <v>74066.656</v>
      </c>
      <c r="L25" s="15"/>
      <c r="M25" s="16">
        <v>-2121.504000000001</v>
      </c>
      <c r="N25" s="17">
        <v>0.9615169704126556</v>
      </c>
      <c r="O25" s="16">
        <v>-1366.8849999999948</v>
      </c>
      <c r="P25" s="17">
        <v>0.976999386722108</v>
      </c>
      <c r="Q25" s="220">
        <v>-2274.3960000000006</v>
      </c>
      <c r="R25" s="17">
        <v>0.9652252573693259</v>
      </c>
      <c r="S25" s="16">
        <v>-3439.652000000002</v>
      </c>
      <c r="T25" s="227">
        <v>0.9519940701095657</v>
      </c>
    </row>
    <row r="26" spans="1:20" ht="33.75">
      <c r="A26" s="119" t="s">
        <v>34</v>
      </c>
      <c r="B26" s="11" t="s">
        <v>17</v>
      </c>
      <c r="C26" s="19">
        <v>43.27557894607442</v>
      </c>
      <c r="D26" s="26">
        <v>44.19650327746761</v>
      </c>
      <c r="E26" s="19">
        <v>43.281747374193806</v>
      </c>
      <c r="F26" s="26">
        <v>46.98163648632756</v>
      </c>
      <c r="G26" s="19">
        <v>43.704386778388574</v>
      </c>
      <c r="H26" s="26">
        <v>46.87110044961874</v>
      </c>
      <c r="I26" s="19">
        <v>43.96350467619821</v>
      </c>
      <c r="J26" s="25">
        <v>47.18260760442444</v>
      </c>
      <c r="K26" s="26">
        <f>K25/K28*100</f>
        <v>47.715259991072784</v>
      </c>
      <c r="L26" s="15" t="s">
        <v>17</v>
      </c>
      <c r="M26" s="16"/>
      <c r="N26" s="21">
        <v>0.920924331393195</v>
      </c>
      <c r="O26" s="16"/>
      <c r="P26" s="21">
        <v>3.6998891121337536</v>
      </c>
      <c r="Q26" s="220"/>
      <c r="R26" s="21">
        <v>3.1667136712301627</v>
      </c>
      <c r="S26" s="16"/>
      <c r="T26" s="232">
        <v>3.219102928226228</v>
      </c>
    </row>
    <row r="27" spans="1:20" s="10" customFormat="1" ht="32.25" customHeight="1">
      <c r="A27" s="120" t="s">
        <v>35</v>
      </c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/>
      <c r="N27" s="23"/>
      <c r="O27" s="24"/>
      <c r="P27" s="23"/>
      <c r="Q27" s="24"/>
      <c r="R27" s="222"/>
      <c r="S27" s="230"/>
      <c r="T27" s="231"/>
    </row>
    <row r="28" spans="1:20" ht="34.5" customHeight="1">
      <c r="A28" s="118" t="s">
        <v>36</v>
      </c>
      <c r="B28" s="11" t="s">
        <v>15</v>
      </c>
      <c r="C28" s="13">
        <v>127388.937</v>
      </c>
      <c r="D28" s="12">
        <v>119934.366</v>
      </c>
      <c r="E28" s="13">
        <v>137305.45</v>
      </c>
      <c r="F28" s="14">
        <v>123582.994</v>
      </c>
      <c r="G28" s="13">
        <v>149650.14</v>
      </c>
      <c r="H28" s="14">
        <v>134687.002</v>
      </c>
      <c r="I28" s="13">
        <v>162977.373</v>
      </c>
      <c r="J28" s="14">
        <v>144567.917</v>
      </c>
      <c r="K28" s="12">
        <v>155226.349</v>
      </c>
      <c r="L28" s="15"/>
      <c r="M28" s="16">
        <v>-7454.571000000011</v>
      </c>
      <c r="N28" s="17">
        <v>0.9414818023012469</v>
      </c>
      <c r="O28" s="16">
        <v>-13722.456000000006</v>
      </c>
      <c r="P28" s="17">
        <v>0.9000589124466654</v>
      </c>
      <c r="Q28" s="220">
        <v>-14963.138000000006</v>
      </c>
      <c r="R28" s="17">
        <v>0.9000125359054124</v>
      </c>
      <c r="S28" s="16">
        <v>-18409.456000000006</v>
      </c>
      <c r="T28" s="227">
        <v>0.8870428718960882</v>
      </c>
    </row>
    <row r="29" spans="1:20" s="10" customFormat="1" ht="21.75" customHeight="1">
      <c r="A29" s="120" t="s">
        <v>37</v>
      </c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/>
      <c r="N29" s="23"/>
      <c r="O29" s="24"/>
      <c r="P29" s="23"/>
      <c r="Q29" s="24"/>
      <c r="R29" s="222"/>
      <c r="S29" s="230"/>
      <c r="T29" s="231"/>
    </row>
    <row r="30" spans="1:20" ht="22.5">
      <c r="A30" s="118" t="s">
        <v>38</v>
      </c>
      <c r="B30" s="11" t="s">
        <v>15</v>
      </c>
      <c r="C30" s="13">
        <v>4688.5</v>
      </c>
      <c r="D30" s="12">
        <v>4740.5</v>
      </c>
      <c r="E30" s="13">
        <v>5240.5</v>
      </c>
      <c r="F30" s="14">
        <v>3923.3</v>
      </c>
      <c r="G30" s="13">
        <v>5942.3</v>
      </c>
      <c r="H30" s="14">
        <v>4269.8</v>
      </c>
      <c r="I30" s="13">
        <v>6638.9</v>
      </c>
      <c r="J30" s="14">
        <v>4689</v>
      </c>
      <c r="K30" s="12">
        <v>5041.4</v>
      </c>
      <c r="L30" s="15"/>
      <c r="M30" s="16">
        <v>52</v>
      </c>
      <c r="N30" s="17">
        <v>1.0110909672603179</v>
      </c>
      <c r="O30" s="16">
        <v>-1317.1999999999998</v>
      </c>
      <c r="P30" s="17">
        <v>0.7486499379830169</v>
      </c>
      <c r="Q30" s="220">
        <v>-1672.5</v>
      </c>
      <c r="R30" s="17">
        <v>0.7185433249751779</v>
      </c>
      <c r="S30" s="16">
        <v>-1949.8999999999996</v>
      </c>
      <c r="T30" s="227">
        <v>0.7062917049511215</v>
      </c>
    </row>
    <row r="31" spans="1:20" s="10" customFormat="1" ht="10.5" customHeight="1">
      <c r="A31" s="120" t="s">
        <v>39</v>
      </c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23"/>
      <c r="O31" s="24"/>
      <c r="P31" s="23"/>
      <c r="Q31" s="24"/>
      <c r="R31" s="222"/>
      <c r="S31" s="230"/>
      <c r="T31" s="231"/>
    </row>
    <row r="32" spans="1:20" ht="25.5" customHeight="1">
      <c r="A32" s="118" t="s">
        <v>40</v>
      </c>
      <c r="B32" s="11" t="s">
        <v>41</v>
      </c>
      <c r="C32" s="13">
        <v>5244</v>
      </c>
      <c r="D32" s="12">
        <v>5280</v>
      </c>
      <c r="E32" s="13">
        <v>5304</v>
      </c>
      <c r="F32" s="14">
        <v>5360</v>
      </c>
      <c r="G32" s="13">
        <v>5364</v>
      </c>
      <c r="H32" s="14">
        <v>5440</v>
      </c>
      <c r="I32" s="13">
        <v>5424</v>
      </c>
      <c r="J32" s="14">
        <v>5520</v>
      </c>
      <c r="K32" s="12">
        <v>5600</v>
      </c>
      <c r="L32" s="15"/>
      <c r="M32" s="16">
        <v>36</v>
      </c>
      <c r="N32" s="17">
        <v>1.0068649885583525</v>
      </c>
      <c r="O32" s="16">
        <v>56</v>
      </c>
      <c r="P32" s="17">
        <v>1.0105580693815988</v>
      </c>
      <c r="Q32" s="220">
        <v>76</v>
      </c>
      <c r="R32" s="17">
        <v>1.0141685309470545</v>
      </c>
      <c r="S32" s="16">
        <v>96</v>
      </c>
      <c r="T32" s="227">
        <v>1.0176991150442478</v>
      </c>
    </row>
    <row r="33" spans="1:20" ht="32.25" customHeight="1">
      <c r="A33" s="118" t="s">
        <v>42</v>
      </c>
      <c r="B33" s="11" t="s">
        <v>41</v>
      </c>
      <c r="C33" s="13">
        <v>2492</v>
      </c>
      <c r="D33" s="12">
        <v>2527</v>
      </c>
      <c r="E33" s="13">
        <v>2516</v>
      </c>
      <c r="F33" s="14">
        <v>2551</v>
      </c>
      <c r="G33" s="13">
        <v>2548</v>
      </c>
      <c r="H33" s="14">
        <v>2583</v>
      </c>
      <c r="I33" s="13">
        <v>2585</v>
      </c>
      <c r="J33" s="14">
        <v>2620</v>
      </c>
      <c r="K33" s="12">
        <v>2657</v>
      </c>
      <c r="L33" s="15"/>
      <c r="M33" s="16">
        <v>35</v>
      </c>
      <c r="N33" s="17">
        <v>1.0140449438202248</v>
      </c>
      <c r="O33" s="16">
        <v>35</v>
      </c>
      <c r="P33" s="17">
        <v>1.0139109697933226</v>
      </c>
      <c r="Q33" s="220">
        <v>35</v>
      </c>
      <c r="R33" s="17">
        <v>1.0137362637362637</v>
      </c>
      <c r="S33" s="16">
        <v>35</v>
      </c>
      <c r="T33" s="227">
        <v>1.0135396518375241</v>
      </c>
    </row>
    <row r="34" spans="1:20" s="10" customFormat="1" ht="36" customHeight="1">
      <c r="A34" s="120" t="s">
        <v>188</v>
      </c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/>
      <c r="N34" s="23"/>
      <c r="O34" s="24"/>
      <c r="P34" s="23"/>
      <c r="Q34" s="24"/>
      <c r="R34" s="222"/>
      <c r="S34" s="230"/>
      <c r="T34" s="231"/>
    </row>
    <row r="35" spans="1:20" ht="35.25" customHeight="1">
      <c r="A35" s="121" t="s">
        <v>43</v>
      </c>
      <c r="B35" s="122" t="s">
        <v>15</v>
      </c>
      <c r="C35" s="124">
        <v>19510</v>
      </c>
      <c r="D35" s="123">
        <v>19259.674</v>
      </c>
      <c r="E35" s="124">
        <v>19985</v>
      </c>
      <c r="F35" s="125">
        <v>21034.65</v>
      </c>
      <c r="G35" s="124">
        <v>21201</v>
      </c>
      <c r="H35" s="125">
        <v>23046.158</v>
      </c>
      <c r="I35" s="124">
        <v>21247</v>
      </c>
      <c r="J35" s="125">
        <v>24245.929</v>
      </c>
      <c r="K35" s="123">
        <v>24742.737</v>
      </c>
      <c r="L35" s="126"/>
      <c r="M35" s="127">
        <v>-250.32600000000093</v>
      </c>
      <c r="N35" s="128">
        <v>0.9871693490517682</v>
      </c>
      <c r="O35" s="127">
        <v>1049.6500000000015</v>
      </c>
      <c r="P35" s="128">
        <v>1.052521891418564</v>
      </c>
      <c r="Q35" s="224">
        <v>1845.1579999999994</v>
      </c>
      <c r="R35" s="128">
        <v>1.0870316494504977</v>
      </c>
      <c r="S35" s="127">
        <v>2998.929</v>
      </c>
      <c r="T35" s="233">
        <v>1.14114599708194</v>
      </c>
    </row>
  </sheetData>
  <sheetProtection/>
  <mergeCells count="15">
    <mergeCell ref="O5:P5"/>
    <mergeCell ref="G4:H4"/>
    <mergeCell ref="S4:T4"/>
    <mergeCell ref="S5:T5"/>
    <mergeCell ref="I4:J4"/>
    <mergeCell ref="Q5:R5"/>
    <mergeCell ref="L4:L5"/>
    <mergeCell ref="M4:N4"/>
    <mergeCell ref="O4:P4"/>
    <mergeCell ref="Q4:R4"/>
    <mergeCell ref="M5:N5"/>
    <mergeCell ref="A4:A5"/>
    <mergeCell ref="B4:B5"/>
    <mergeCell ref="C4:D4"/>
    <mergeCell ref="E4:F4"/>
  </mergeCells>
  <printOptions/>
  <pageMargins left="0.31496062992125984" right="0.11811023622047245" top="1.1811023622047245" bottom="0.5905511811023623" header="0.5118110236220472" footer="0.11811023622047245"/>
  <pageSetup firstPageNumber="178" useFirstPageNumber="1" horizontalDpi="600" verticalDpi="600" orientation="landscape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SheetLayoutView="100" zoomScalePageLayoutView="0" workbookViewId="0" topLeftCell="A1">
      <selection activeCell="I19" sqref="I19"/>
    </sheetView>
  </sheetViews>
  <sheetFormatPr defaultColWidth="9.00390625" defaultRowHeight="12.75"/>
  <cols>
    <col min="1" max="1" width="57.25390625" style="33" customWidth="1"/>
    <col min="2" max="2" width="9.00390625" style="33" customWidth="1"/>
    <col min="3" max="7" width="15.75390625" style="33" customWidth="1"/>
    <col min="8" max="16384" width="9.125" style="33" customWidth="1"/>
  </cols>
  <sheetData>
    <row r="1" spans="1:7" ht="16.5" customHeight="1">
      <c r="A1" s="267" t="s">
        <v>44</v>
      </c>
      <c r="B1" s="267" t="s">
        <v>45</v>
      </c>
      <c r="C1" s="264" t="s">
        <v>46</v>
      </c>
      <c r="D1" s="265"/>
      <c r="E1" s="265"/>
      <c r="F1" s="265"/>
      <c r="G1" s="266"/>
    </row>
    <row r="2" spans="1:7" ht="11.25" customHeight="1">
      <c r="A2" s="267"/>
      <c r="B2" s="267"/>
      <c r="C2" s="267" t="s">
        <v>156</v>
      </c>
      <c r="D2" s="267" t="s">
        <v>157</v>
      </c>
      <c r="E2" s="267" t="s">
        <v>47</v>
      </c>
      <c r="F2" s="267" t="s">
        <v>48</v>
      </c>
      <c r="G2" s="267" t="s">
        <v>158</v>
      </c>
    </row>
    <row r="3" spans="1:7" ht="3" customHeight="1">
      <c r="A3" s="267"/>
      <c r="B3" s="267"/>
      <c r="C3" s="267"/>
      <c r="D3" s="267"/>
      <c r="E3" s="267"/>
      <c r="F3" s="267"/>
      <c r="G3" s="267"/>
    </row>
    <row r="4" spans="1:7" ht="14.25" customHeight="1">
      <c r="A4" s="268" t="s">
        <v>39</v>
      </c>
      <c r="B4" s="269"/>
      <c r="C4" s="269"/>
      <c r="D4" s="269"/>
      <c r="E4" s="269"/>
      <c r="F4" s="269"/>
      <c r="G4" s="270"/>
    </row>
    <row r="5" spans="1:7" ht="12.75" customHeight="1">
      <c r="A5" s="103" t="s">
        <v>130</v>
      </c>
      <c r="B5" s="137" t="s">
        <v>41</v>
      </c>
      <c r="C5" s="36">
        <v>5280</v>
      </c>
      <c r="D5" s="36">
        <f>C5+80</f>
        <v>5360</v>
      </c>
      <c r="E5" s="36">
        <f>D5+80</f>
        <v>5440</v>
      </c>
      <c r="F5" s="36">
        <f>E5+80</f>
        <v>5520</v>
      </c>
      <c r="G5" s="36">
        <f>F5+80</f>
        <v>5600</v>
      </c>
    </row>
    <row r="6" spans="1:7" ht="12.75" customHeight="1">
      <c r="A6" s="103" t="s">
        <v>131</v>
      </c>
      <c r="B6" s="137" t="s">
        <v>41</v>
      </c>
      <c r="C6" s="36">
        <v>2527</v>
      </c>
      <c r="D6" s="36">
        <f>SUM(D7:D18)</f>
        <v>2551</v>
      </c>
      <c r="E6" s="36">
        <f>SUM(E7:E18)</f>
        <v>2583</v>
      </c>
      <c r="F6" s="36">
        <f>SUM(F7:F18)</f>
        <v>2620</v>
      </c>
      <c r="G6" s="36">
        <f>SUM(G7:G18)</f>
        <v>2657</v>
      </c>
    </row>
    <row r="7" spans="1:7" ht="12.75" customHeight="1">
      <c r="A7" s="103" t="s">
        <v>116</v>
      </c>
      <c r="B7" s="137" t="s">
        <v>41</v>
      </c>
      <c r="C7" s="36">
        <v>1</v>
      </c>
      <c r="D7" s="36">
        <v>1</v>
      </c>
      <c r="E7" s="36">
        <v>1</v>
      </c>
      <c r="F7" s="36">
        <v>1</v>
      </c>
      <c r="G7" s="36">
        <v>1</v>
      </c>
    </row>
    <row r="8" spans="1:7" ht="12.75" customHeight="1">
      <c r="A8" s="103" t="s">
        <v>117</v>
      </c>
      <c r="B8" s="137" t="s">
        <v>41</v>
      </c>
      <c r="C8" s="36">
        <v>449</v>
      </c>
      <c r="D8" s="36">
        <f>C8+5</f>
        <v>454</v>
      </c>
      <c r="E8" s="36">
        <f>D8+10</f>
        <v>464</v>
      </c>
      <c r="F8" s="36">
        <f>E8+10</f>
        <v>474</v>
      </c>
      <c r="G8" s="36">
        <f>F8+10</f>
        <v>484</v>
      </c>
    </row>
    <row r="9" spans="1:7" ht="12.75" customHeight="1">
      <c r="A9" s="103" t="s">
        <v>118</v>
      </c>
      <c r="B9" s="137" t="s">
        <v>41</v>
      </c>
      <c r="C9" s="36">
        <v>252</v>
      </c>
      <c r="D9" s="36">
        <f>C9+2</f>
        <v>254</v>
      </c>
      <c r="E9" s="36">
        <f>D9+3</f>
        <v>257</v>
      </c>
      <c r="F9" s="36">
        <f>E9+7</f>
        <v>264</v>
      </c>
      <c r="G9" s="36">
        <f>F9+7</f>
        <v>271</v>
      </c>
    </row>
    <row r="10" spans="1:7" ht="12.75" customHeight="1">
      <c r="A10" s="103" t="s">
        <v>119</v>
      </c>
      <c r="B10" s="137" t="s">
        <v>41</v>
      </c>
      <c r="C10" s="36">
        <v>932</v>
      </c>
      <c r="D10" s="36">
        <f>C10+10</f>
        <v>942</v>
      </c>
      <c r="E10" s="36">
        <f>D10+10</f>
        <v>952</v>
      </c>
      <c r="F10" s="36">
        <f>E10+10</f>
        <v>962</v>
      </c>
      <c r="G10" s="36">
        <f>F10+10</f>
        <v>972</v>
      </c>
    </row>
    <row r="11" spans="1:7" ht="12.75" customHeight="1">
      <c r="A11" s="103" t="s">
        <v>120</v>
      </c>
      <c r="B11" s="137" t="s">
        <v>41</v>
      </c>
      <c r="C11" s="36">
        <v>80</v>
      </c>
      <c r="D11" s="36">
        <v>80</v>
      </c>
      <c r="E11" s="36">
        <v>80</v>
      </c>
      <c r="F11" s="36">
        <v>80</v>
      </c>
      <c r="G11" s="36">
        <v>80</v>
      </c>
    </row>
    <row r="12" spans="1:7" ht="12.75" customHeight="1">
      <c r="A12" s="103" t="s">
        <v>132</v>
      </c>
      <c r="B12" s="137" t="s">
        <v>41</v>
      </c>
      <c r="C12" s="36">
        <v>90</v>
      </c>
      <c r="D12" s="36">
        <v>92</v>
      </c>
      <c r="E12" s="36">
        <v>92</v>
      </c>
      <c r="F12" s="36">
        <v>92</v>
      </c>
      <c r="G12" s="36">
        <v>92</v>
      </c>
    </row>
    <row r="13" spans="1:7" ht="25.5" customHeight="1">
      <c r="A13" s="103" t="s">
        <v>121</v>
      </c>
      <c r="B13" s="137" t="s">
        <v>41</v>
      </c>
      <c r="C13" s="52">
        <v>391</v>
      </c>
      <c r="D13" s="52">
        <f>C13+4</f>
        <v>395</v>
      </c>
      <c r="E13" s="52">
        <f>D13+4</f>
        <v>399</v>
      </c>
      <c r="F13" s="52">
        <f>E13+4</f>
        <v>403</v>
      </c>
      <c r="G13" s="52">
        <f>F13+4</f>
        <v>407</v>
      </c>
    </row>
    <row r="14" spans="1:7" ht="12.75" customHeight="1">
      <c r="A14" s="103" t="s">
        <v>133</v>
      </c>
      <c r="B14" s="137" t="s">
        <v>41</v>
      </c>
      <c r="C14" s="36">
        <v>21</v>
      </c>
      <c r="D14" s="36">
        <v>21</v>
      </c>
      <c r="E14" s="36">
        <v>21</v>
      </c>
      <c r="F14" s="36">
        <v>21</v>
      </c>
      <c r="G14" s="36">
        <v>21</v>
      </c>
    </row>
    <row r="15" spans="1:7" ht="12.75" customHeight="1">
      <c r="A15" s="103" t="s">
        <v>134</v>
      </c>
      <c r="B15" s="137" t="s">
        <v>41</v>
      </c>
      <c r="C15" s="36">
        <v>89</v>
      </c>
      <c r="D15" s="36">
        <f>C15</f>
        <v>89</v>
      </c>
      <c r="E15" s="36">
        <f>D15</f>
        <v>89</v>
      </c>
      <c r="F15" s="36">
        <f>E15</f>
        <v>89</v>
      </c>
      <c r="G15" s="36">
        <f>F15</f>
        <v>89</v>
      </c>
    </row>
    <row r="16" spans="1:7" ht="12.75" customHeight="1">
      <c r="A16" s="103" t="s">
        <v>135</v>
      </c>
      <c r="B16" s="137" t="s">
        <v>41</v>
      </c>
      <c r="C16" s="36">
        <v>29</v>
      </c>
      <c r="D16" s="36">
        <v>28</v>
      </c>
      <c r="E16" s="36">
        <v>29</v>
      </c>
      <c r="F16" s="36">
        <v>29</v>
      </c>
      <c r="G16" s="36">
        <v>29</v>
      </c>
    </row>
    <row r="17" spans="1:7" ht="24.75" customHeight="1">
      <c r="A17" s="103" t="s">
        <v>122</v>
      </c>
      <c r="B17" s="137" t="s">
        <v>41</v>
      </c>
      <c r="C17" s="52">
        <v>147</v>
      </c>
      <c r="D17" s="52">
        <f>C17+2</f>
        <v>149</v>
      </c>
      <c r="E17" s="52">
        <f>D17+3</f>
        <v>152</v>
      </c>
      <c r="F17" s="52">
        <f>E17+5</f>
        <v>157</v>
      </c>
      <c r="G17" s="52">
        <f>F17+5</f>
        <v>162</v>
      </c>
    </row>
    <row r="18" spans="1:7" ht="12.75" customHeight="1">
      <c r="A18" s="103" t="s">
        <v>136</v>
      </c>
      <c r="B18" s="137" t="s">
        <v>41</v>
      </c>
      <c r="C18" s="36">
        <v>46</v>
      </c>
      <c r="D18" s="36">
        <v>46</v>
      </c>
      <c r="E18" s="36">
        <f>D18+1</f>
        <v>47</v>
      </c>
      <c r="F18" s="36">
        <f>E18+1</f>
        <v>48</v>
      </c>
      <c r="G18" s="36">
        <f>F18+1</f>
        <v>49</v>
      </c>
    </row>
    <row r="19" spans="3:7" s="89" customFormat="1" ht="22.5" customHeight="1">
      <c r="C19" s="104"/>
      <c r="D19" s="104"/>
      <c r="E19" s="104"/>
      <c r="F19" s="104"/>
      <c r="G19" s="104"/>
    </row>
    <row r="20" spans="1:7" ht="17.25" customHeight="1">
      <c r="A20" s="267" t="s">
        <v>44</v>
      </c>
      <c r="B20" s="267" t="s">
        <v>45</v>
      </c>
      <c r="C20" s="264" t="s">
        <v>63</v>
      </c>
      <c r="D20" s="265"/>
      <c r="E20" s="265"/>
      <c r="F20" s="265"/>
      <c r="G20" s="266"/>
    </row>
    <row r="21" spans="1:7" ht="9" customHeight="1">
      <c r="A21" s="267"/>
      <c r="B21" s="267"/>
      <c r="C21" s="267" t="s">
        <v>156</v>
      </c>
      <c r="D21" s="267" t="s">
        <v>157</v>
      </c>
      <c r="E21" s="267" t="s">
        <v>47</v>
      </c>
      <c r="F21" s="267" t="s">
        <v>48</v>
      </c>
      <c r="G21" s="267" t="s">
        <v>158</v>
      </c>
    </row>
    <row r="22" spans="1:7" ht="6.75" customHeight="1">
      <c r="A22" s="281"/>
      <c r="B22" s="281"/>
      <c r="C22" s="267"/>
      <c r="D22" s="267"/>
      <c r="E22" s="267"/>
      <c r="F22" s="267"/>
      <c r="G22" s="267"/>
    </row>
    <row r="23" spans="1:7" ht="14.25" customHeight="1">
      <c r="A23" s="268" t="s">
        <v>39</v>
      </c>
      <c r="B23" s="269"/>
      <c r="C23" s="269"/>
      <c r="D23" s="269"/>
      <c r="E23" s="269"/>
      <c r="F23" s="269"/>
      <c r="G23" s="270"/>
    </row>
    <row r="24" spans="1:7" ht="12.75" customHeight="1">
      <c r="A24" s="103" t="s">
        <v>130</v>
      </c>
      <c r="B24" s="137" t="s">
        <v>41</v>
      </c>
      <c r="C24" s="36">
        <f>SUM(C27:C38)</f>
        <v>232</v>
      </c>
      <c r="D24" s="36">
        <f>SUM(D27:D38)</f>
        <v>229</v>
      </c>
      <c r="E24" s="36">
        <f>SUM(E27:E38)</f>
        <v>229</v>
      </c>
      <c r="F24" s="36">
        <f>SUM(F27:F38)</f>
        <v>229</v>
      </c>
      <c r="G24" s="36">
        <f>SUM(G27:G38)</f>
        <v>229</v>
      </c>
    </row>
    <row r="25" spans="1:7" ht="12.75" customHeight="1">
      <c r="A25" s="103" t="s">
        <v>131</v>
      </c>
      <c r="B25" s="137" t="s">
        <v>41</v>
      </c>
      <c r="C25" s="36"/>
      <c r="D25" s="36"/>
      <c r="E25" s="36"/>
      <c r="F25" s="36"/>
      <c r="G25" s="36"/>
    </row>
    <row r="26" spans="1:7" s="183" customFormat="1" ht="9" customHeight="1">
      <c r="A26" s="209" t="s">
        <v>137</v>
      </c>
      <c r="B26" s="188"/>
      <c r="C26" s="210"/>
      <c r="D26" s="210"/>
      <c r="E26" s="210"/>
      <c r="F26" s="210"/>
      <c r="G26" s="210"/>
    </row>
    <row r="27" spans="1:7" ht="12.75" customHeight="1">
      <c r="A27" s="103" t="s">
        <v>116</v>
      </c>
      <c r="B27" s="137" t="s">
        <v>41</v>
      </c>
      <c r="C27" s="36">
        <v>1</v>
      </c>
      <c r="D27" s="36">
        <v>1</v>
      </c>
      <c r="E27" s="36">
        <v>1</v>
      </c>
      <c r="F27" s="36">
        <v>1</v>
      </c>
      <c r="G27" s="36">
        <v>1</v>
      </c>
    </row>
    <row r="28" spans="1:7" ht="12.75" customHeight="1">
      <c r="A28" s="103" t="s">
        <v>117</v>
      </c>
      <c r="B28" s="137" t="s">
        <v>41</v>
      </c>
      <c r="C28" s="36">
        <v>40</v>
      </c>
      <c r="D28" s="36">
        <v>37</v>
      </c>
      <c r="E28" s="36">
        <v>37</v>
      </c>
      <c r="F28" s="36">
        <v>37</v>
      </c>
      <c r="G28" s="36">
        <v>37</v>
      </c>
    </row>
    <row r="29" spans="1:7" ht="12.75" customHeight="1">
      <c r="A29" s="103" t="s">
        <v>118</v>
      </c>
      <c r="B29" s="137" t="s">
        <v>41</v>
      </c>
      <c r="C29" s="36">
        <v>1</v>
      </c>
      <c r="D29" s="36">
        <v>1</v>
      </c>
      <c r="E29" s="36">
        <v>1</v>
      </c>
      <c r="F29" s="36">
        <v>1</v>
      </c>
      <c r="G29" s="36">
        <v>1</v>
      </c>
    </row>
    <row r="30" spans="1:7" ht="12.75" customHeight="1">
      <c r="A30" s="103" t="s">
        <v>119</v>
      </c>
      <c r="B30" s="137" t="s">
        <v>41</v>
      </c>
      <c r="C30" s="36">
        <v>21</v>
      </c>
      <c r="D30" s="36">
        <v>20</v>
      </c>
      <c r="E30" s="36">
        <v>20</v>
      </c>
      <c r="F30" s="36">
        <v>20</v>
      </c>
      <c r="G30" s="36">
        <v>20</v>
      </c>
    </row>
    <row r="31" spans="1:7" ht="12.75" customHeight="1">
      <c r="A31" s="103" t="s">
        <v>120</v>
      </c>
      <c r="B31" s="137" t="s">
        <v>41</v>
      </c>
      <c r="C31" s="36">
        <v>6</v>
      </c>
      <c r="D31" s="36">
        <v>6</v>
      </c>
      <c r="E31" s="36">
        <v>6</v>
      </c>
      <c r="F31" s="36">
        <v>6</v>
      </c>
      <c r="G31" s="36">
        <v>6</v>
      </c>
    </row>
    <row r="32" spans="1:7" ht="12.75" customHeight="1">
      <c r="A32" s="103" t="s">
        <v>132</v>
      </c>
      <c r="B32" s="137" t="s">
        <v>41</v>
      </c>
      <c r="C32" s="36">
        <v>2</v>
      </c>
      <c r="D32" s="36">
        <v>3</v>
      </c>
      <c r="E32" s="36">
        <v>3</v>
      </c>
      <c r="F32" s="36">
        <v>3</v>
      </c>
      <c r="G32" s="36">
        <v>3</v>
      </c>
    </row>
    <row r="33" spans="1:7" ht="24.75" customHeight="1">
      <c r="A33" s="103" t="s">
        <v>121</v>
      </c>
      <c r="B33" s="137" t="s">
        <v>41</v>
      </c>
      <c r="C33" s="36">
        <v>39</v>
      </c>
      <c r="D33" s="36">
        <f>C33-9+7</f>
        <v>37</v>
      </c>
      <c r="E33" s="36">
        <v>37</v>
      </c>
      <c r="F33" s="36">
        <v>37</v>
      </c>
      <c r="G33" s="36">
        <v>37</v>
      </c>
    </row>
    <row r="34" spans="1:7" ht="12.75" customHeight="1">
      <c r="A34" s="103" t="s">
        <v>133</v>
      </c>
      <c r="B34" s="137" t="s">
        <v>41</v>
      </c>
      <c r="C34" s="36">
        <v>21</v>
      </c>
      <c r="D34" s="36">
        <v>21</v>
      </c>
      <c r="E34" s="36">
        <v>21</v>
      </c>
      <c r="F34" s="36">
        <v>21</v>
      </c>
      <c r="G34" s="36">
        <v>21</v>
      </c>
    </row>
    <row r="35" spans="1:7" ht="12.75" customHeight="1">
      <c r="A35" s="103" t="s">
        <v>134</v>
      </c>
      <c r="B35" s="137" t="s">
        <v>41</v>
      </c>
      <c r="C35" s="36">
        <f>32+23+16</f>
        <v>71</v>
      </c>
      <c r="D35" s="36">
        <f>34+23+16</f>
        <v>73</v>
      </c>
      <c r="E35" s="36">
        <v>73</v>
      </c>
      <c r="F35" s="36">
        <v>73</v>
      </c>
      <c r="G35" s="36">
        <v>73</v>
      </c>
    </row>
    <row r="36" spans="1:7" ht="12.75" customHeight="1">
      <c r="A36" s="103" t="s">
        <v>135</v>
      </c>
      <c r="B36" s="137" t="s">
        <v>41</v>
      </c>
      <c r="C36" s="36">
        <v>8</v>
      </c>
      <c r="D36" s="36">
        <v>8</v>
      </c>
      <c r="E36" s="36">
        <v>8</v>
      </c>
      <c r="F36" s="36">
        <v>8</v>
      </c>
      <c r="G36" s="36">
        <v>8</v>
      </c>
    </row>
    <row r="37" spans="1:7" ht="23.25" customHeight="1">
      <c r="A37" s="103" t="s">
        <v>122</v>
      </c>
      <c r="B37" s="137" t="s">
        <v>41</v>
      </c>
      <c r="C37" s="36">
        <v>21</v>
      </c>
      <c r="D37" s="36">
        <v>21</v>
      </c>
      <c r="E37" s="36">
        <v>21</v>
      </c>
      <c r="F37" s="36">
        <v>21</v>
      </c>
      <c r="G37" s="36">
        <v>21</v>
      </c>
    </row>
    <row r="38" spans="1:7" ht="12.75" customHeight="1">
      <c r="A38" s="103" t="s">
        <v>138</v>
      </c>
      <c r="B38" s="137" t="s">
        <v>41</v>
      </c>
      <c r="C38" s="36">
        <v>1</v>
      </c>
      <c r="D38" s="36">
        <v>1</v>
      </c>
      <c r="E38" s="36">
        <v>1</v>
      </c>
      <c r="F38" s="36">
        <v>1</v>
      </c>
      <c r="G38" s="36">
        <v>1</v>
      </c>
    </row>
  </sheetData>
  <sheetProtection/>
  <mergeCells count="18">
    <mergeCell ref="A1:A3"/>
    <mergeCell ref="B1:B3"/>
    <mergeCell ref="C1:G1"/>
    <mergeCell ref="C2:C3"/>
    <mergeCell ref="D2:D3"/>
    <mergeCell ref="E2:E3"/>
    <mergeCell ref="F2:F3"/>
    <mergeCell ref="G2:G3"/>
    <mergeCell ref="G21:G22"/>
    <mergeCell ref="A23:G23"/>
    <mergeCell ref="A4:G4"/>
    <mergeCell ref="A20:A22"/>
    <mergeCell ref="B20:B22"/>
    <mergeCell ref="C20:G20"/>
    <mergeCell ref="C21:C22"/>
    <mergeCell ref="D21:D22"/>
    <mergeCell ref="E21:E22"/>
    <mergeCell ref="F21:F22"/>
  </mergeCells>
  <printOptions horizontalCentered="1"/>
  <pageMargins left="0.1968503937007874" right="0.1968503937007874" top="0.49" bottom="0.15748031496062992" header="0.2755905511811024" footer="0.11811023622047245"/>
  <pageSetup firstPageNumber="188" useFirstPageNumber="1" fitToHeight="8" horizontalDpi="300" verticalDpi="300" orientation="landscape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zoomScale="89" zoomScaleNormal="89" zoomScaleSheetLayoutView="100" zoomScalePageLayoutView="0" workbookViewId="0" topLeftCell="A1">
      <selection activeCell="N12" sqref="N12"/>
    </sheetView>
  </sheetViews>
  <sheetFormatPr defaultColWidth="9.00390625" defaultRowHeight="12.75"/>
  <cols>
    <col min="1" max="1" width="4.625" style="166" customWidth="1"/>
    <col min="2" max="2" width="54.625" style="166" customWidth="1"/>
    <col min="3" max="3" width="8.625" style="166" customWidth="1"/>
    <col min="4" max="4" width="10.125" style="166" customWidth="1"/>
    <col min="5" max="5" width="9.875" style="166" customWidth="1"/>
    <col min="6" max="6" width="9.625" style="166" customWidth="1"/>
    <col min="7" max="7" width="9.375" style="166" customWidth="1"/>
    <col min="8" max="8" width="9.875" style="166" customWidth="1"/>
    <col min="9" max="13" width="9.75390625" style="166" customWidth="1"/>
    <col min="14" max="14" width="10.00390625" style="166" customWidth="1"/>
    <col min="15" max="15" width="9.625" style="166" customWidth="1"/>
    <col min="16" max="17" width="9.375" style="166" customWidth="1"/>
    <col min="18" max="18" width="9.625" style="166" customWidth="1"/>
    <col min="19" max="16384" width="9.125" style="166" customWidth="1"/>
  </cols>
  <sheetData>
    <row r="1" spans="1:18" ht="27.75" customHeight="1">
      <c r="A1" s="328" t="s">
        <v>123</v>
      </c>
      <c r="B1" s="331" t="s">
        <v>86</v>
      </c>
      <c r="C1" s="334" t="s">
        <v>168</v>
      </c>
      <c r="D1" s="337" t="s">
        <v>169</v>
      </c>
      <c r="E1" s="337"/>
      <c r="F1" s="337"/>
      <c r="G1" s="337"/>
      <c r="H1" s="337"/>
      <c r="I1" s="338" t="s">
        <v>51</v>
      </c>
      <c r="J1" s="338"/>
      <c r="K1" s="338"/>
      <c r="L1" s="338"/>
      <c r="M1" s="338"/>
      <c r="N1" s="338"/>
      <c r="O1" s="338"/>
      <c r="P1" s="338"/>
      <c r="Q1" s="338"/>
      <c r="R1" s="339"/>
    </row>
    <row r="2" spans="1:18" ht="72" customHeight="1">
      <c r="A2" s="329"/>
      <c r="B2" s="332"/>
      <c r="C2" s="335"/>
      <c r="D2" s="321"/>
      <c r="E2" s="321"/>
      <c r="F2" s="321"/>
      <c r="G2" s="321"/>
      <c r="H2" s="321"/>
      <c r="I2" s="321" t="s">
        <v>170</v>
      </c>
      <c r="J2" s="321"/>
      <c r="K2" s="321"/>
      <c r="L2" s="321"/>
      <c r="M2" s="321"/>
      <c r="N2" s="321" t="s">
        <v>171</v>
      </c>
      <c r="O2" s="321"/>
      <c r="P2" s="321"/>
      <c r="Q2" s="321"/>
      <c r="R2" s="322"/>
    </row>
    <row r="3" spans="1:18" ht="19.5" customHeight="1">
      <c r="A3" s="329"/>
      <c r="B3" s="332"/>
      <c r="C3" s="335"/>
      <c r="D3" s="238">
        <v>2015</v>
      </c>
      <c r="E3" s="238">
        <v>2016</v>
      </c>
      <c r="F3" s="323" t="s">
        <v>11</v>
      </c>
      <c r="G3" s="323"/>
      <c r="H3" s="323"/>
      <c r="I3" s="238">
        <v>2015</v>
      </c>
      <c r="J3" s="238">
        <v>2016</v>
      </c>
      <c r="K3" s="323" t="s">
        <v>11</v>
      </c>
      <c r="L3" s="323"/>
      <c r="M3" s="323"/>
      <c r="N3" s="238">
        <v>2015</v>
      </c>
      <c r="O3" s="238">
        <v>2016</v>
      </c>
      <c r="P3" s="323" t="s">
        <v>11</v>
      </c>
      <c r="Q3" s="323"/>
      <c r="R3" s="324"/>
    </row>
    <row r="4" spans="1:18" ht="21" customHeight="1" thickBot="1">
      <c r="A4" s="330"/>
      <c r="B4" s="333"/>
      <c r="C4" s="336"/>
      <c r="D4" s="239" t="s">
        <v>8</v>
      </c>
      <c r="E4" s="239" t="s">
        <v>9</v>
      </c>
      <c r="F4" s="239">
        <v>2017</v>
      </c>
      <c r="G4" s="239">
        <v>2018</v>
      </c>
      <c r="H4" s="239">
        <v>2019</v>
      </c>
      <c r="I4" s="239" t="s">
        <v>8</v>
      </c>
      <c r="J4" s="239" t="s">
        <v>9</v>
      </c>
      <c r="K4" s="239">
        <v>2017</v>
      </c>
      <c r="L4" s="239">
        <v>2018</v>
      </c>
      <c r="M4" s="239">
        <v>2019</v>
      </c>
      <c r="N4" s="239" t="s">
        <v>8</v>
      </c>
      <c r="O4" s="239" t="s">
        <v>9</v>
      </c>
      <c r="P4" s="239">
        <v>2017</v>
      </c>
      <c r="Q4" s="239">
        <v>2018</v>
      </c>
      <c r="R4" s="240">
        <v>2019</v>
      </c>
    </row>
    <row r="5" spans="1:18" ht="27.75" customHeight="1">
      <c r="A5" s="325" t="s">
        <v>196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7"/>
    </row>
    <row r="6" spans="1:18" ht="87.75" customHeight="1">
      <c r="A6" s="241" t="s">
        <v>172</v>
      </c>
      <c r="B6" s="168" t="s">
        <v>192</v>
      </c>
      <c r="C6" s="169" t="s">
        <v>113</v>
      </c>
      <c r="D6" s="236" t="s">
        <v>173</v>
      </c>
      <c r="E6" s="236" t="s">
        <v>173</v>
      </c>
      <c r="F6" s="236" t="s">
        <v>173</v>
      </c>
      <c r="G6" s="236" t="s">
        <v>173</v>
      </c>
      <c r="H6" s="236" t="s">
        <v>173</v>
      </c>
      <c r="I6" s="236">
        <v>19259674</v>
      </c>
      <c r="J6" s="236">
        <v>21034650</v>
      </c>
      <c r="K6" s="236">
        <v>23046158</v>
      </c>
      <c r="L6" s="236">
        <v>24245929</v>
      </c>
      <c r="M6" s="236">
        <v>24742737</v>
      </c>
      <c r="N6" s="236" t="s">
        <v>173</v>
      </c>
      <c r="O6" s="236" t="s">
        <v>173</v>
      </c>
      <c r="P6" s="236" t="s">
        <v>173</v>
      </c>
      <c r="Q6" s="236" t="s">
        <v>173</v>
      </c>
      <c r="R6" s="236" t="s">
        <v>173</v>
      </c>
    </row>
    <row r="7" spans="1:18" ht="81.75" customHeight="1">
      <c r="A7" s="242" t="s">
        <v>174</v>
      </c>
      <c r="B7" s="170" t="s">
        <v>193</v>
      </c>
      <c r="C7" s="171" t="s">
        <v>113</v>
      </c>
      <c r="D7" s="237">
        <f aca="true" t="shared" si="0" ref="D7:H8">I7+N7</f>
        <v>5378300</v>
      </c>
      <c r="E7" s="237">
        <f t="shared" si="0"/>
        <v>5356193</v>
      </c>
      <c r="F7" s="237">
        <f t="shared" si="0"/>
        <v>4183564</v>
      </c>
      <c r="G7" s="237">
        <f t="shared" si="0"/>
        <v>2824784</v>
      </c>
      <c r="H7" s="237">
        <f t="shared" si="0"/>
        <v>2341682</v>
      </c>
      <c r="I7" s="237">
        <v>4819494</v>
      </c>
      <c r="J7" s="237">
        <v>4732936</v>
      </c>
      <c r="K7" s="237">
        <v>3474426</v>
      </c>
      <c r="L7" s="237">
        <v>2454252</v>
      </c>
      <c r="M7" s="237">
        <v>1953815</v>
      </c>
      <c r="N7" s="237">
        <v>558806</v>
      </c>
      <c r="O7" s="237">
        <v>623257</v>
      </c>
      <c r="P7" s="237">
        <v>709138</v>
      </c>
      <c r="Q7" s="237">
        <v>370532</v>
      </c>
      <c r="R7" s="237">
        <v>387867</v>
      </c>
    </row>
    <row r="8" spans="1:18" ht="40.5" customHeight="1">
      <c r="A8" s="242" t="s">
        <v>190</v>
      </c>
      <c r="B8" s="170" t="s">
        <v>194</v>
      </c>
      <c r="C8" s="171" t="s">
        <v>113</v>
      </c>
      <c r="D8" s="237">
        <f t="shared" si="0"/>
        <v>47558844</v>
      </c>
      <c r="E8" s="237">
        <f t="shared" si="0"/>
        <v>51792283</v>
      </c>
      <c r="F8" s="237">
        <f t="shared" si="0"/>
        <v>55397599</v>
      </c>
      <c r="G8" s="237">
        <f t="shared" si="0"/>
        <v>57812658</v>
      </c>
      <c r="H8" s="237">
        <f t="shared" si="0"/>
        <v>59589973</v>
      </c>
      <c r="I8" s="237">
        <v>30890368</v>
      </c>
      <c r="J8" s="237">
        <v>34659132</v>
      </c>
      <c r="K8" s="237">
        <v>37628631</v>
      </c>
      <c r="L8" s="237">
        <v>39758475</v>
      </c>
      <c r="M8" s="237">
        <v>41222275</v>
      </c>
      <c r="N8" s="237">
        <v>16668476</v>
      </c>
      <c r="O8" s="237">
        <v>17133151</v>
      </c>
      <c r="P8" s="237">
        <v>17768968</v>
      </c>
      <c r="Q8" s="237">
        <v>18054183</v>
      </c>
      <c r="R8" s="237">
        <v>18367698</v>
      </c>
    </row>
    <row r="9" spans="1:18" ht="71.25" customHeight="1">
      <c r="A9" s="242" t="s">
        <v>191</v>
      </c>
      <c r="B9" s="170" t="s">
        <v>195</v>
      </c>
      <c r="C9" s="235" t="s">
        <v>17</v>
      </c>
      <c r="D9" s="243">
        <f>D7/D8*100</f>
        <v>11.308727352582414</v>
      </c>
      <c r="E9" s="243">
        <f>E7/E8*100</f>
        <v>10.341681597623337</v>
      </c>
      <c r="F9" s="243">
        <f aca="true" t="shared" si="1" ref="F9:R9">F7/F8*100</f>
        <v>7.5518868606561815</v>
      </c>
      <c r="G9" s="243">
        <f t="shared" si="1"/>
        <v>4.886099511286957</v>
      </c>
      <c r="H9" s="243">
        <f t="shared" si="1"/>
        <v>3.9296577630602383</v>
      </c>
      <c r="I9" s="243">
        <f t="shared" si="1"/>
        <v>15.601931320468568</v>
      </c>
      <c r="J9" s="243">
        <f t="shared" si="1"/>
        <v>13.655668006919505</v>
      </c>
      <c r="K9" s="243">
        <f t="shared" si="1"/>
        <v>9.233463742010704</v>
      </c>
      <c r="L9" s="243">
        <f t="shared" si="1"/>
        <v>6.172902758468477</v>
      </c>
      <c r="M9" s="243">
        <f t="shared" si="1"/>
        <v>4.739706869647539</v>
      </c>
      <c r="N9" s="243">
        <f t="shared" si="1"/>
        <v>3.35247205563364</v>
      </c>
      <c r="O9" s="243">
        <f t="shared" si="1"/>
        <v>3.637725483187535</v>
      </c>
      <c r="P9" s="243">
        <f t="shared" si="1"/>
        <v>3.990878930053788</v>
      </c>
      <c r="Q9" s="243">
        <f t="shared" si="1"/>
        <v>2.052333245985155</v>
      </c>
      <c r="R9" s="243">
        <f t="shared" si="1"/>
        <v>2.1116799720901334</v>
      </c>
    </row>
  </sheetData>
  <sheetProtection/>
  <mergeCells count="11">
    <mergeCell ref="A5:R5"/>
    <mergeCell ref="A1:A4"/>
    <mergeCell ref="B1:B4"/>
    <mergeCell ref="C1:C4"/>
    <mergeCell ref="D1:H2"/>
    <mergeCell ref="I1:R1"/>
    <mergeCell ref="I2:M2"/>
    <mergeCell ref="N2:R2"/>
    <mergeCell ref="F3:H3"/>
    <mergeCell ref="K3:M3"/>
    <mergeCell ref="P3:R3"/>
  </mergeCells>
  <printOptions/>
  <pageMargins left="0.3937007874015748" right="0.1968503937007874" top="1.1811023622047245" bottom="0.2755905511811024" header="0.15748031496062992" footer="0.15748031496062992"/>
  <pageSetup firstPageNumber="189" useFirstPageNumber="1" fitToHeight="1" fitToWidth="1" horizontalDpi="600" verticalDpi="600" orientation="landscape" paperSize="9" scale="67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zoomScalePageLayoutView="0" workbookViewId="0" topLeftCell="A1">
      <selection activeCell="A25" sqref="A25"/>
    </sheetView>
  </sheetViews>
  <sheetFormatPr defaultColWidth="9.00390625" defaultRowHeight="12.75"/>
  <cols>
    <col min="1" max="1" width="51.625" style="33" customWidth="1"/>
    <col min="2" max="2" width="9.00390625" style="33" customWidth="1"/>
    <col min="3" max="6" width="15.625" style="33" customWidth="1"/>
    <col min="7" max="7" width="10.75390625" style="71" hidden="1" customWidth="1"/>
    <col min="8" max="8" width="9.125" style="71" hidden="1" customWidth="1"/>
    <col min="9" max="9" width="15.625" style="33" customWidth="1"/>
    <col min="10" max="16384" width="9.125" style="33" customWidth="1"/>
  </cols>
  <sheetData>
    <row r="1" spans="1:9" ht="34.5" customHeight="1">
      <c r="A1" s="267" t="s">
        <v>44</v>
      </c>
      <c r="B1" s="267" t="s">
        <v>45</v>
      </c>
      <c r="C1" s="346" t="s">
        <v>185</v>
      </c>
      <c r="D1" s="347"/>
      <c r="E1" s="347"/>
      <c r="F1" s="347"/>
      <c r="G1" s="347"/>
      <c r="H1" s="347"/>
      <c r="I1" s="348"/>
    </row>
    <row r="2" spans="1:9" ht="12.75">
      <c r="A2" s="267"/>
      <c r="B2" s="267"/>
      <c r="C2" s="267" t="s">
        <v>156</v>
      </c>
      <c r="D2" s="267" t="s">
        <v>157</v>
      </c>
      <c r="E2" s="267" t="s">
        <v>47</v>
      </c>
      <c r="F2" s="267" t="s">
        <v>48</v>
      </c>
      <c r="G2" s="49"/>
      <c r="H2" s="49"/>
      <c r="I2" s="267" t="s">
        <v>158</v>
      </c>
    </row>
    <row r="3" spans="1:9" ht="12.75">
      <c r="A3" s="267"/>
      <c r="B3" s="267"/>
      <c r="C3" s="267"/>
      <c r="D3" s="267"/>
      <c r="E3" s="267"/>
      <c r="F3" s="267"/>
      <c r="G3" s="49"/>
      <c r="H3" s="49"/>
      <c r="I3" s="267"/>
    </row>
    <row r="4" spans="1:9" ht="26.25" customHeight="1">
      <c r="A4" s="340" t="s">
        <v>178</v>
      </c>
      <c r="B4" s="341"/>
      <c r="C4" s="341"/>
      <c r="D4" s="341"/>
      <c r="E4" s="341"/>
      <c r="F4" s="341"/>
      <c r="G4" s="341"/>
      <c r="H4" s="341"/>
      <c r="I4" s="342"/>
    </row>
    <row r="5" spans="1:9" ht="24.75" customHeight="1">
      <c r="A5" s="43" t="s">
        <v>141</v>
      </c>
      <c r="B5" s="106" t="s">
        <v>113</v>
      </c>
      <c r="C5" s="40">
        <v>77596.4</v>
      </c>
      <c r="D5" s="40">
        <v>84188.8</v>
      </c>
      <c r="E5" s="40">
        <v>88521.1</v>
      </c>
      <c r="F5" s="40">
        <v>93954.7</v>
      </c>
      <c r="G5" s="113"/>
      <c r="H5" s="172" t="s">
        <v>142</v>
      </c>
      <c r="I5" s="40">
        <v>99232.3</v>
      </c>
    </row>
    <row r="6" spans="1:9" ht="15.75" customHeight="1">
      <c r="A6" s="43" t="s">
        <v>16</v>
      </c>
      <c r="B6" s="106" t="s">
        <v>17</v>
      </c>
      <c r="C6" s="40">
        <v>111.4</v>
      </c>
      <c r="D6" s="40">
        <f>D5/C5/1.046*100</f>
        <v>103.72443112591225</v>
      </c>
      <c r="E6" s="40">
        <v>99.4</v>
      </c>
      <c r="F6" s="40">
        <v>101.3</v>
      </c>
      <c r="G6" s="113"/>
      <c r="H6" s="172" t="s">
        <v>16</v>
      </c>
      <c r="I6" s="40">
        <v>101.6</v>
      </c>
    </row>
    <row r="7" spans="1:9" ht="26.25" customHeight="1">
      <c r="A7" s="43" t="s">
        <v>142</v>
      </c>
      <c r="B7" s="106" t="s">
        <v>113</v>
      </c>
      <c r="C7" s="40"/>
      <c r="D7" s="40"/>
      <c r="E7" s="40"/>
      <c r="F7" s="40"/>
      <c r="G7" s="40"/>
      <c r="H7" s="40"/>
      <c r="I7" s="40"/>
    </row>
    <row r="8" spans="1:9" ht="13.5" customHeight="1">
      <c r="A8" s="43" t="s">
        <v>16</v>
      </c>
      <c r="B8" s="106" t="s">
        <v>17</v>
      </c>
      <c r="C8" s="40"/>
      <c r="D8" s="40"/>
      <c r="E8" s="40"/>
      <c r="F8" s="40"/>
      <c r="G8" s="40"/>
      <c r="H8" s="40"/>
      <c r="I8" s="40"/>
    </row>
    <row r="9" spans="1:9" ht="24.75" customHeight="1">
      <c r="A9" s="43" t="s">
        <v>143</v>
      </c>
      <c r="B9" s="106" t="s">
        <v>23</v>
      </c>
      <c r="C9" s="43"/>
      <c r="D9" s="43"/>
      <c r="E9" s="43"/>
      <c r="F9" s="43"/>
      <c r="G9" s="49"/>
      <c r="H9" s="107" t="s">
        <v>143</v>
      </c>
      <c r="I9" s="43"/>
    </row>
    <row r="10" spans="1:9" ht="25.5" customHeight="1">
      <c r="A10" s="43" t="s">
        <v>144</v>
      </c>
      <c r="B10" s="44" t="s">
        <v>113</v>
      </c>
      <c r="C10" s="43"/>
      <c r="D10" s="43"/>
      <c r="E10" s="43"/>
      <c r="F10" s="43"/>
      <c r="G10" s="49"/>
      <c r="H10" s="107" t="s">
        <v>144</v>
      </c>
      <c r="I10" s="43"/>
    </row>
    <row r="11" spans="1:9" ht="18" customHeight="1">
      <c r="A11" s="43" t="s">
        <v>145</v>
      </c>
      <c r="B11" s="109" t="s">
        <v>29</v>
      </c>
      <c r="C11" s="43"/>
      <c r="D11" s="43"/>
      <c r="E11" s="43"/>
      <c r="F11" s="43"/>
      <c r="G11" s="49"/>
      <c r="H11" s="107" t="s">
        <v>145</v>
      </c>
      <c r="I11" s="43"/>
    </row>
    <row r="12" spans="1:9" ht="16.5" customHeight="1">
      <c r="A12" s="343" t="s">
        <v>146</v>
      </c>
      <c r="B12" s="344"/>
      <c r="C12" s="344"/>
      <c r="D12" s="344"/>
      <c r="E12" s="344"/>
      <c r="F12" s="344"/>
      <c r="G12" s="344"/>
      <c r="H12" s="344"/>
      <c r="I12" s="345"/>
    </row>
    <row r="13" spans="1:9" ht="39.75" customHeight="1">
      <c r="A13" s="43" t="s">
        <v>59</v>
      </c>
      <c r="B13" s="44" t="s">
        <v>113</v>
      </c>
      <c r="C13" s="110"/>
      <c r="D13" s="111"/>
      <c r="E13" s="112"/>
      <c r="F13" s="112"/>
      <c r="G13" s="49"/>
      <c r="H13" s="107" t="s">
        <v>59</v>
      </c>
      <c r="I13" s="112"/>
    </row>
    <row r="14" spans="1:9" ht="26.25" customHeight="1">
      <c r="A14" s="43" t="s">
        <v>147</v>
      </c>
      <c r="B14" s="44" t="s">
        <v>113</v>
      </c>
      <c r="C14" s="110"/>
      <c r="D14" s="111"/>
      <c r="E14" s="112"/>
      <c r="F14" s="112"/>
      <c r="G14" s="49"/>
      <c r="H14" s="107" t="s">
        <v>147</v>
      </c>
      <c r="I14" s="112"/>
    </row>
    <row r="15" spans="1:9" ht="15" customHeight="1">
      <c r="A15" s="43" t="s">
        <v>148</v>
      </c>
      <c r="B15" s="44" t="s">
        <v>113</v>
      </c>
      <c r="C15" s="110"/>
      <c r="D15" s="111"/>
      <c r="E15" s="112"/>
      <c r="F15" s="112"/>
      <c r="G15" s="49"/>
      <c r="H15" s="107" t="s">
        <v>148</v>
      </c>
      <c r="I15" s="112"/>
    </row>
    <row r="16" spans="1:9" ht="26.25" customHeight="1">
      <c r="A16" s="43" t="s">
        <v>149</v>
      </c>
      <c r="B16" s="44" t="s">
        <v>113</v>
      </c>
      <c r="C16" s="110"/>
      <c r="D16" s="111"/>
      <c r="E16" s="112"/>
      <c r="F16" s="112"/>
      <c r="G16" s="49"/>
      <c r="H16" s="107" t="s">
        <v>149</v>
      </c>
      <c r="I16" s="112"/>
    </row>
    <row r="17" spans="1:9" ht="13.5" customHeight="1">
      <c r="A17" s="43" t="s">
        <v>150</v>
      </c>
      <c r="B17" s="44" t="s">
        <v>113</v>
      </c>
      <c r="C17" s="110"/>
      <c r="D17" s="111"/>
      <c r="E17" s="112"/>
      <c r="F17" s="112"/>
      <c r="G17" s="49"/>
      <c r="H17" s="107" t="s">
        <v>150</v>
      </c>
      <c r="I17" s="112"/>
    </row>
    <row r="18" spans="1:9" ht="13.5" customHeight="1">
      <c r="A18" s="43" t="s">
        <v>151</v>
      </c>
      <c r="B18" s="44" t="s">
        <v>113</v>
      </c>
      <c r="C18" s="110"/>
      <c r="D18" s="111"/>
      <c r="E18" s="112"/>
      <c r="F18" s="112"/>
      <c r="G18" s="49"/>
      <c r="H18" s="107" t="s">
        <v>151</v>
      </c>
      <c r="I18" s="112"/>
    </row>
    <row r="19" spans="1:9" ht="13.5" customHeight="1">
      <c r="A19" s="43" t="s">
        <v>61</v>
      </c>
      <c r="B19" s="44" t="s">
        <v>113</v>
      </c>
      <c r="C19" s="110"/>
      <c r="D19" s="111"/>
      <c r="E19" s="112"/>
      <c r="F19" s="112"/>
      <c r="G19" s="49"/>
      <c r="H19" s="107" t="s">
        <v>61</v>
      </c>
      <c r="I19" s="112"/>
    </row>
    <row r="20" spans="1:9" ht="25.5" customHeight="1">
      <c r="A20" s="43" t="s">
        <v>152</v>
      </c>
      <c r="B20" s="44" t="s">
        <v>50</v>
      </c>
      <c r="C20" s="110"/>
      <c r="D20" s="111"/>
      <c r="E20" s="112"/>
      <c r="F20" s="112"/>
      <c r="G20" s="49"/>
      <c r="H20" s="107" t="s">
        <v>152</v>
      </c>
      <c r="I20" s="112"/>
    </row>
    <row r="21" spans="1:9" ht="14.25" customHeight="1">
      <c r="A21" s="43" t="s">
        <v>62</v>
      </c>
      <c r="B21" s="44" t="s">
        <v>113</v>
      </c>
      <c r="C21" s="110"/>
      <c r="D21" s="111"/>
      <c r="E21" s="112"/>
      <c r="F21" s="112"/>
      <c r="G21" s="49"/>
      <c r="H21" s="107" t="s">
        <v>62</v>
      </c>
      <c r="I21" s="112"/>
    </row>
    <row r="22" spans="1:9" ht="14.25" customHeight="1">
      <c r="A22" s="43" t="s">
        <v>153</v>
      </c>
      <c r="B22" s="44" t="s">
        <v>41</v>
      </c>
      <c r="C22" s="110"/>
      <c r="D22" s="111"/>
      <c r="E22" s="112"/>
      <c r="F22" s="112"/>
      <c r="G22" s="49"/>
      <c r="H22" s="107" t="s">
        <v>153</v>
      </c>
      <c r="I22" s="112"/>
    </row>
    <row r="23" spans="1:9" ht="14.25" customHeight="1">
      <c r="A23" s="43" t="s">
        <v>154</v>
      </c>
      <c r="B23" s="44" t="s">
        <v>41</v>
      </c>
      <c r="C23" s="110"/>
      <c r="D23" s="111"/>
      <c r="E23" s="112"/>
      <c r="F23" s="112"/>
      <c r="G23" s="173"/>
      <c r="H23" s="174" t="s">
        <v>154</v>
      </c>
      <c r="I23" s="112"/>
    </row>
    <row r="25" ht="12.75">
      <c r="A25" s="33" t="s">
        <v>179</v>
      </c>
    </row>
  </sheetData>
  <sheetProtection/>
  <mergeCells count="10">
    <mergeCell ref="A4:I4"/>
    <mergeCell ref="A12:I12"/>
    <mergeCell ref="A1:A3"/>
    <mergeCell ref="B1:B3"/>
    <mergeCell ref="C1:I1"/>
    <mergeCell ref="C2:C3"/>
    <mergeCell ref="D2:D3"/>
    <mergeCell ref="E2:E3"/>
    <mergeCell ref="F2:F3"/>
    <mergeCell ref="I2:I3"/>
  </mergeCells>
  <printOptions horizontalCentered="1"/>
  <pageMargins left="0.4330708661417323" right="0.2362204724409449" top="0.984251968503937" bottom="0.2755905511811024" header="0.2755905511811024" footer="0.1968503937007874"/>
  <pageSetup firstPageNumber="190" useFirstPageNumber="1" fitToHeight="8" horizontalDpi="300" verticalDpi="300" orientation="landscape" paperSize="9" scale="9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="78" zoomScaleNormal="78" zoomScaleSheetLayoutView="100" workbookViewId="0" topLeftCell="A1">
      <selection activeCell="C44" sqref="C44"/>
    </sheetView>
  </sheetViews>
  <sheetFormatPr defaultColWidth="9.00390625" defaultRowHeight="12.75"/>
  <cols>
    <col min="1" max="1" width="35.875" style="33" customWidth="1"/>
    <col min="2" max="2" width="9.00390625" style="33" customWidth="1"/>
    <col min="3" max="7" width="13.00390625" style="33" customWidth="1"/>
    <col min="8" max="16384" width="9.125" style="33" customWidth="1"/>
  </cols>
  <sheetData>
    <row r="1" spans="1:7" ht="33.75" customHeight="1">
      <c r="A1" s="267" t="s">
        <v>44</v>
      </c>
      <c r="B1" s="267" t="s">
        <v>45</v>
      </c>
      <c r="C1" s="264" t="s">
        <v>189</v>
      </c>
      <c r="D1" s="265"/>
      <c r="E1" s="265"/>
      <c r="F1" s="265"/>
      <c r="G1" s="266"/>
    </row>
    <row r="2" spans="1:7" ht="20.25" customHeight="1">
      <c r="A2" s="267"/>
      <c r="B2" s="267"/>
      <c r="C2" s="267" t="s">
        <v>166</v>
      </c>
      <c r="D2" s="267" t="s">
        <v>157</v>
      </c>
      <c r="E2" s="267" t="s">
        <v>47</v>
      </c>
      <c r="F2" s="267" t="s">
        <v>48</v>
      </c>
      <c r="G2" s="267" t="s">
        <v>158</v>
      </c>
    </row>
    <row r="3" spans="1:7" ht="20.25" customHeight="1">
      <c r="A3" s="267"/>
      <c r="B3" s="267"/>
      <c r="C3" s="267"/>
      <c r="D3" s="267"/>
      <c r="E3" s="267"/>
      <c r="F3" s="267"/>
      <c r="G3" s="267"/>
    </row>
    <row r="4" spans="1:7" ht="45.75" customHeight="1">
      <c r="A4" s="268" t="s">
        <v>21</v>
      </c>
      <c r="B4" s="269"/>
      <c r="C4" s="269"/>
      <c r="D4" s="269"/>
      <c r="E4" s="269"/>
      <c r="F4" s="269"/>
      <c r="G4" s="270"/>
    </row>
    <row r="5" spans="1:7" ht="36" customHeight="1">
      <c r="A5" s="83" t="s">
        <v>22</v>
      </c>
      <c r="B5" s="137" t="s">
        <v>23</v>
      </c>
      <c r="C5" s="84">
        <v>111.36</v>
      </c>
      <c r="D5" s="84">
        <f>C5+2.7</f>
        <v>114.06</v>
      </c>
      <c r="E5" s="84">
        <f>D5+2</f>
        <v>116.06</v>
      </c>
      <c r="F5" s="84">
        <f>E5+1.9</f>
        <v>117.96000000000001</v>
      </c>
      <c r="G5" s="84">
        <f>F5+1.8</f>
        <v>119.76</v>
      </c>
    </row>
    <row r="6" spans="1:7" ht="36" customHeight="1">
      <c r="A6" s="85" t="s">
        <v>82</v>
      </c>
      <c r="B6" s="137" t="s">
        <v>23</v>
      </c>
      <c r="C6" s="84">
        <f>19.299+1.631-0.842+0.1</f>
        <v>20.188000000000002</v>
      </c>
      <c r="D6" s="84">
        <f>C6+1.63-0.923+0.1</f>
        <v>20.995000000000005</v>
      </c>
      <c r="E6" s="84">
        <f>D6+1.65-0.77+0.1</f>
        <v>21.975000000000005</v>
      </c>
      <c r="F6" s="84">
        <f>E6+1.65-0.874+0.05</f>
        <v>22.801000000000005</v>
      </c>
      <c r="G6" s="84">
        <f>F6+1.65-0.921+0.05</f>
        <v>23.580000000000005</v>
      </c>
    </row>
    <row r="7" spans="1:7" ht="36" customHeight="1">
      <c r="A7" s="54" t="s">
        <v>83</v>
      </c>
      <c r="B7" s="86" t="s">
        <v>23</v>
      </c>
      <c r="C7" s="84">
        <v>48.3</v>
      </c>
      <c r="D7" s="84">
        <v>48.112</v>
      </c>
      <c r="E7" s="84">
        <v>48.197</v>
      </c>
      <c r="F7" s="84">
        <v>48.369</v>
      </c>
      <c r="G7" s="84">
        <v>48.54</v>
      </c>
    </row>
    <row r="8" spans="1:7" ht="45.75" customHeight="1">
      <c r="A8" s="268" t="s">
        <v>25</v>
      </c>
      <c r="B8" s="269"/>
      <c r="C8" s="269"/>
      <c r="D8" s="269"/>
      <c r="E8" s="269"/>
      <c r="F8" s="269"/>
      <c r="G8" s="270"/>
    </row>
    <row r="9" spans="1:7" ht="36.75" customHeight="1">
      <c r="A9" s="52" t="s">
        <v>26</v>
      </c>
      <c r="B9" s="86" t="s">
        <v>50</v>
      </c>
      <c r="C9" s="87">
        <v>20173333</v>
      </c>
      <c r="D9" s="87">
        <v>20700000</v>
      </c>
      <c r="E9" s="87">
        <v>21459999.5</v>
      </c>
      <c r="F9" s="87">
        <v>22400000.4</v>
      </c>
      <c r="G9" s="87">
        <v>23500000</v>
      </c>
    </row>
    <row r="10" spans="1:7" ht="36.75" customHeight="1">
      <c r="A10" s="88" t="s">
        <v>84</v>
      </c>
      <c r="B10" s="86" t="s">
        <v>85</v>
      </c>
      <c r="C10" s="87">
        <f>C9/C7/12</f>
        <v>34805.61249137336</v>
      </c>
      <c r="D10" s="87">
        <f>D9/D7/12</f>
        <v>35853.84103757898</v>
      </c>
      <c r="E10" s="87">
        <f>E9/E7/12</f>
        <v>37104.6598681799</v>
      </c>
      <c r="F10" s="87">
        <f>F9/F7/12</f>
        <v>38592.21195393743</v>
      </c>
      <c r="G10" s="87">
        <f>G9/G7/12</f>
        <v>40344.73286636451</v>
      </c>
    </row>
    <row r="11" spans="3:7" s="89" customFormat="1" ht="22.5" customHeight="1">
      <c r="C11" s="138"/>
      <c r="D11" s="139"/>
      <c r="E11" s="139"/>
      <c r="F11" s="139"/>
      <c r="G11" s="139"/>
    </row>
    <row r="12" spans="3:7" s="89" customFormat="1" ht="15" customHeight="1">
      <c r="C12" s="138"/>
      <c r="D12" s="140"/>
      <c r="E12" s="140"/>
      <c r="F12" s="140"/>
      <c r="G12" s="140"/>
    </row>
  </sheetData>
  <sheetProtection/>
  <mergeCells count="10">
    <mergeCell ref="C1:G1"/>
    <mergeCell ref="G2:G3"/>
    <mergeCell ref="A4:G4"/>
    <mergeCell ref="A8:G8"/>
    <mergeCell ref="A1:A3"/>
    <mergeCell ref="B1:B3"/>
    <mergeCell ref="C2:C3"/>
    <mergeCell ref="D2:D3"/>
    <mergeCell ref="E2:E3"/>
    <mergeCell ref="F2:F3"/>
  </mergeCells>
  <printOptions horizontalCentered="1"/>
  <pageMargins left="0.8267716535433072" right="0.4330708661417323" top="1.299212598425197" bottom="0.8661417322834646" header="0.2755905511811024" footer="0.1968503937007874"/>
  <pageSetup firstPageNumber="180" useFirstPageNumber="1"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SheetLayoutView="100" zoomScalePageLayoutView="0" workbookViewId="0" topLeftCell="A7">
      <selection activeCell="D28" sqref="D28"/>
    </sheetView>
  </sheetViews>
  <sheetFormatPr defaultColWidth="9.00390625" defaultRowHeight="12.75"/>
  <cols>
    <col min="1" max="1" width="59.875" style="33" customWidth="1"/>
    <col min="2" max="2" width="9.00390625" style="33" customWidth="1"/>
    <col min="3" max="7" width="14.125" style="33" customWidth="1"/>
    <col min="8" max="16384" width="9.125" style="33" customWidth="1"/>
  </cols>
  <sheetData>
    <row r="1" spans="1:7" ht="17.25" customHeight="1">
      <c r="A1" s="267" t="s">
        <v>44</v>
      </c>
      <c r="B1" s="267" t="s">
        <v>45</v>
      </c>
      <c r="C1" s="273" t="s">
        <v>46</v>
      </c>
      <c r="D1" s="273"/>
      <c r="E1" s="273"/>
      <c r="F1" s="273"/>
      <c r="G1" s="273"/>
    </row>
    <row r="2" spans="1:7" ht="11.25" customHeight="1">
      <c r="A2" s="267"/>
      <c r="B2" s="267"/>
      <c r="C2" s="267" t="s">
        <v>156</v>
      </c>
      <c r="D2" s="267" t="s">
        <v>157</v>
      </c>
      <c r="E2" s="267" t="s">
        <v>47</v>
      </c>
      <c r="F2" s="267" t="s">
        <v>48</v>
      </c>
      <c r="G2" s="267" t="s">
        <v>158</v>
      </c>
    </row>
    <row r="3" spans="1:7" ht="11.25" customHeight="1">
      <c r="A3" s="267"/>
      <c r="B3" s="267"/>
      <c r="C3" s="267"/>
      <c r="D3" s="267"/>
      <c r="E3" s="267"/>
      <c r="F3" s="267"/>
      <c r="G3" s="267"/>
    </row>
    <row r="4" spans="1:7" ht="18" customHeight="1">
      <c r="A4" s="271" t="s">
        <v>13</v>
      </c>
      <c r="B4" s="271"/>
      <c r="C4" s="271"/>
      <c r="D4" s="271"/>
      <c r="E4" s="271"/>
      <c r="F4" s="271"/>
      <c r="G4" s="271"/>
    </row>
    <row r="5" spans="1:7" s="56" customFormat="1" ht="23.25" customHeight="1">
      <c r="A5" s="57" t="s">
        <v>49</v>
      </c>
      <c r="B5" s="35" t="s">
        <v>50</v>
      </c>
      <c r="C5" s="58">
        <v>42142896.4</v>
      </c>
      <c r="D5" s="58">
        <v>46986815</v>
      </c>
      <c r="E5" s="58">
        <v>50775538</v>
      </c>
      <c r="F5" s="58">
        <v>54523476.7</v>
      </c>
      <c r="G5" s="58">
        <v>58454807</v>
      </c>
    </row>
    <row r="6" spans="1:7" s="216" customFormat="1" ht="8.25" customHeight="1">
      <c r="A6" s="213" t="s">
        <v>51</v>
      </c>
      <c r="B6" s="214"/>
      <c r="C6" s="215"/>
      <c r="D6" s="215"/>
      <c r="E6" s="215"/>
      <c r="F6" s="215"/>
      <c r="G6" s="215"/>
    </row>
    <row r="7" spans="1:7" s="56" customFormat="1" ht="12" customHeight="1">
      <c r="A7" s="60" t="s">
        <v>52</v>
      </c>
      <c r="B7" s="37" t="s">
        <v>50</v>
      </c>
      <c r="C7" s="58">
        <v>168885</v>
      </c>
      <c r="D7" s="58">
        <v>173952</v>
      </c>
      <c r="E7" s="58">
        <v>180000</v>
      </c>
      <c r="F7" s="58">
        <v>185000</v>
      </c>
      <c r="G7" s="58">
        <v>190082</v>
      </c>
    </row>
    <row r="8" spans="1:7" s="56" customFormat="1" ht="12" customHeight="1">
      <c r="A8" s="60" t="s">
        <v>53</v>
      </c>
      <c r="B8" s="37" t="s">
        <v>50</v>
      </c>
      <c r="C8" s="58">
        <f>C31+4854223.6</f>
        <v>40007905.2</v>
      </c>
      <c r="D8" s="58">
        <f>D31+6075969</f>
        <v>44538771</v>
      </c>
      <c r="E8" s="58">
        <f>E31+6635916</f>
        <v>48182649</v>
      </c>
      <c r="F8" s="58">
        <f>F31+7241051.4</f>
        <v>51798882.8</v>
      </c>
      <c r="G8" s="58">
        <f>G31+7869095</f>
        <v>55601259.4</v>
      </c>
    </row>
    <row r="9" spans="1:7" s="56" customFormat="1" ht="12" customHeight="1">
      <c r="A9" s="61" t="s">
        <v>54</v>
      </c>
      <c r="B9" s="37" t="s">
        <v>50</v>
      </c>
      <c r="C9" s="58">
        <f>C32+24375</f>
        <v>1966106</v>
      </c>
      <c r="D9" s="58">
        <f>D32+26049</f>
        <v>2274092</v>
      </c>
      <c r="E9" s="58">
        <f>E32+27210</f>
        <v>2412889</v>
      </c>
      <c r="F9" s="58">
        <f>F32+28306</f>
        <v>2539594</v>
      </c>
      <c r="G9" s="58">
        <f>G32+29339</f>
        <v>2663465.4</v>
      </c>
    </row>
    <row r="10" spans="1:7" s="56" customFormat="1" ht="12" customHeight="1">
      <c r="A10" s="61" t="s">
        <v>55</v>
      </c>
      <c r="B10" s="37" t="s">
        <v>17</v>
      </c>
      <c r="C10" s="62">
        <v>102</v>
      </c>
      <c r="D10" s="62">
        <f>(D7*D12+D8*D13+D9*D14)/D5</f>
        <v>105.68175544692699</v>
      </c>
      <c r="E10" s="62">
        <f>(E7*E12+E8*E13+E9*E14)/E5</f>
        <v>102.70820836754106</v>
      </c>
      <c r="F10" s="62">
        <f>(F7*F12+F8*F13+F9*F14)/F5</f>
        <v>102.3259284387637</v>
      </c>
      <c r="G10" s="62">
        <f>(G7*G12+G8*G13+G9*G14)/G5</f>
        <v>102.4655227706286</v>
      </c>
    </row>
    <row r="11" spans="1:7" s="56" customFormat="1" ht="12" customHeight="1">
      <c r="A11" s="59" t="s">
        <v>51</v>
      </c>
      <c r="B11" s="37"/>
      <c r="C11" s="175"/>
      <c r="D11" s="175"/>
      <c r="E11" s="175"/>
      <c r="F11" s="175"/>
      <c r="G11" s="175"/>
    </row>
    <row r="12" spans="1:7" s="56" customFormat="1" ht="12" customHeight="1">
      <c r="A12" s="60" t="s">
        <v>52</v>
      </c>
      <c r="B12" s="37" t="s">
        <v>17</v>
      </c>
      <c r="C12" s="62">
        <v>105.642</v>
      </c>
      <c r="D12" s="62">
        <v>102.795</v>
      </c>
      <c r="E12" s="62">
        <v>101.349</v>
      </c>
      <c r="F12" s="62">
        <v>101.459</v>
      </c>
      <c r="G12" s="62">
        <v>101.73</v>
      </c>
    </row>
    <row r="13" spans="1:7" s="56" customFormat="1" ht="12" customHeight="1">
      <c r="A13" s="60" t="s">
        <v>53</v>
      </c>
      <c r="B13" s="37" t="s">
        <v>17</v>
      </c>
      <c r="C13" s="62">
        <v>103.279</v>
      </c>
      <c r="D13" s="62">
        <v>105.656</v>
      </c>
      <c r="E13" s="62">
        <v>102.844</v>
      </c>
      <c r="F13" s="62">
        <v>102.436</v>
      </c>
      <c r="G13" s="62">
        <v>102.578</v>
      </c>
    </row>
    <row r="14" spans="1:7" s="56" customFormat="1" ht="12" customHeight="1">
      <c r="A14" s="61" t="s">
        <v>54</v>
      </c>
      <c r="B14" s="37" t="s">
        <v>17</v>
      </c>
      <c r="C14" s="62">
        <v>83.284</v>
      </c>
      <c r="D14" s="62">
        <v>106.407</v>
      </c>
      <c r="E14" s="62">
        <v>100.098</v>
      </c>
      <c r="F14" s="62">
        <v>100.144</v>
      </c>
      <c r="G14" s="62">
        <v>100.17</v>
      </c>
    </row>
    <row r="15" spans="1:7" s="56" customFormat="1" ht="12" customHeight="1">
      <c r="A15" s="63" t="s">
        <v>56</v>
      </c>
      <c r="B15" s="37" t="s">
        <v>50</v>
      </c>
      <c r="C15" s="58">
        <f>C5-C28</f>
        <v>5047483.799999997</v>
      </c>
      <c r="D15" s="58">
        <f>D5-D28</f>
        <v>6275970</v>
      </c>
      <c r="E15" s="58">
        <f>E5-E28</f>
        <v>6843126</v>
      </c>
      <c r="F15" s="58">
        <f>F5-F28</f>
        <v>7454357.3000000045</v>
      </c>
      <c r="G15" s="58">
        <f>G5-G28</f>
        <v>8088516.200000003</v>
      </c>
    </row>
    <row r="16" spans="1:7" s="56" customFormat="1" ht="12" customHeight="1">
      <c r="A16" s="61" t="s">
        <v>57</v>
      </c>
      <c r="B16" s="37" t="s">
        <v>17</v>
      </c>
      <c r="C16" s="62">
        <v>94.491</v>
      </c>
      <c r="D16" s="62">
        <v>118.157</v>
      </c>
      <c r="E16" s="62">
        <v>103.997</v>
      </c>
      <c r="F16" s="62">
        <v>104.189</v>
      </c>
      <c r="G16" s="62">
        <v>104.12</v>
      </c>
    </row>
    <row r="17" spans="1:7" s="182" customFormat="1" ht="10.5" customHeight="1">
      <c r="A17" s="272" t="s">
        <v>58</v>
      </c>
      <c r="B17" s="272"/>
      <c r="C17" s="272"/>
      <c r="D17" s="272"/>
      <c r="E17" s="272"/>
      <c r="F17" s="272"/>
      <c r="G17" s="272"/>
    </row>
    <row r="18" spans="1:7" s="56" customFormat="1" ht="24" customHeight="1">
      <c r="A18" s="64" t="s">
        <v>59</v>
      </c>
      <c r="B18" s="44" t="s">
        <v>50</v>
      </c>
      <c r="C18" s="58">
        <f>C35+7005796</f>
        <v>53708448</v>
      </c>
      <c r="D18" s="58">
        <f>D35+8726732</f>
        <v>53600066</v>
      </c>
      <c r="E18" s="58">
        <f>E35+9521475</f>
        <v>58953312</v>
      </c>
      <c r="F18" s="58">
        <f>F35+10379896</f>
        <v>63516384</v>
      </c>
      <c r="G18" s="58">
        <f>G35+11270830</f>
        <v>67934957</v>
      </c>
    </row>
    <row r="19" spans="1:7" s="56" customFormat="1" ht="12" customHeight="1">
      <c r="A19" s="64" t="s">
        <v>60</v>
      </c>
      <c r="B19" s="44" t="s">
        <v>50</v>
      </c>
      <c r="C19" s="58">
        <f>SUM(C20:C21)</f>
        <v>247344</v>
      </c>
      <c r="D19" s="58">
        <f>SUM(D20:D21)</f>
        <v>1449768</v>
      </c>
      <c r="E19" s="58">
        <f>SUM(E20:E21)</f>
        <v>1870987</v>
      </c>
      <c r="F19" s="58">
        <f>SUM(F20:F21)</f>
        <v>2116613</v>
      </c>
      <c r="G19" s="58">
        <f>SUM(G20:G21)</f>
        <v>2332443</v>
      </c>
    </row>
    <row r="20" spans="1:7" s="56" customFormat="1" ht="12" customHeight="1">
      <c r="A20" s="64" t="s">
        <v>61</v>
      </c>
      <c r="B20" s="44" t="s">
        <v>50</v>
      </c>
      <c r="C20" s="58">
        <f>C37+22181+293242</f>
        <v>1872333</v>
      </c>
      <c r="D20" s="58">
        <f>D37+3500+27300+526329</f>
        <v>1656833</v>
      </c>
      <c r="E20" s="58">
        <f>E37+3675+27400+545089</f>
        <v>1899487</v>
      </c>
      <c r="F20" s="58">
        <f>F37+3859+27500+572461</f>
        <v>2141253</v>
      </c>
      <c r="G20" s="58">
        <f>G37+4052+27600+594993</f>
        <v>2355083</v>
      </c>
    </row>
    <row r="21" spans="1:7" s="56" customFormat="1" ht="12" customHeight="1">
      <c r="A21" s="64" t="s">
        <v>62</v>
      </c>
      <c r="B21" s="44" t="s">
        <v>50</v>
      </c>
      <c r="C21" s="58">
        <f>-2214-(70736-13087)+C38</f>
        <v>-1624989</v>
      </c>
      <c r="D21" s="58">
        <f>-(57050-20000)+D38</f>
        <v>-207065</v>
      </c>
      <c r="E21" s="58">
        <f>-28500+E38</f>
        <v>-28500</v>
      </c>
      <c r="F21" s="58">
        <f>-24640+F38</f>
        <v>-24640</v>
      </c>
      <c r="G21" s="58">
        <f>-22640+G38</f>
        <v>-22640</v>
      </c>
    </row>
    <row r="22" spans="1:7" ht="17.25" customHeight="1">
      <c r="A22" s="45"/>
      <c r="B22" s="46"/>
      <c r="C22" s="132"/>
      <c r="D22" s="133"/>
      <c r="E22" s="133"/>
      <c r="F22" s="133"/>
      <c r="G22" s="133"/>
    </row>
    <row r="23" spans="1:7" ht="18" customHeight="1">
      <c r="A23" s="267" t="s">
        <v>44</v>
      </c>
      <c r="B23" s="267" t="s">
        <v>45</v>
      </c>
      <c r="C23" s="273" t="s">
        <v>63</v>
      </c>
      <c r="D23" s="273"/>
      <c r="E23" s="273"/>
      <c r="F23" s="273"/>
      <c r="G23" s="273"/>
    </row>
    <row r="24" spans="1:7" ht="11.25" customHeight="1">
      <c r="A24" s="267"/>
      <c r="B24" s="267"/>
      <c r="C24" s="267" t="s">
        <v>156</v>
      </c>
      <c r="D24" s="267" t="s">
        <v>157</v>
      </c>
      <c r="E24" s="267" t="s">
        <v>47</v>
      </c>
      <c r="F24" s="267" t="s">
        <v>48</v>
      </c>
      <c r="G24" s="267" t="s">
        <v>158</v>
      </c>
    </row>
    <row r="25" spans="1:7" ht="11.25" customHeight="1">
      <c r="A25" s="267"/>
      <c r="B25" s="267"/>
      <c r="C25" s="267"/>
      <c r="D25" s="267"/>
      <c r="E25" s="267"/>
      <c r="F25" s="267"/>
      <c r="G25" s="267"/>
    </row>
    <row r="26" spans="1:7" ht="13.5" customHeight="1">
      <c r="A26" s="271" t="s">
        <v>13</v>
      </c>
      <c r="B26" s="271"/>
      <c r="C26" s="271"/>
      <c r="D26" s="271"/>
      <c r="E26" s="271"/>
      <c r="F26" s="271"/>
      <c r="G26" s="271"/>
    </row>
    <row r="27" spans="1:7" s="65" customFormat="1" ht="13.5" customHeight="1">
      <c r="A27" s="66" t="s">
        <v>64</v>
      </c>
      <c r="B27" s="50" t="s">
        <v>41</v>
      </c>
      <c r="C27" s="58">
        <f>32+2+6</f>
        <v>40</v>
      </c>
      <c r="D27" s="58">
        <f>29+2+6</f>
        <v>37</v>
      </c>
      <c r="E27" s="58">
        <v>37</v>
      </c>
      <c r="F27" s="58">
        <v>37</v>
      </c>
      <c r="G27" s="58">
        <v>37</v>
      </c>
    </row>
    <row r="28" spans="1:7" s="65" customFormat="1" ht="24.75" customHeight="1">
      <c r="A28" s="67" t="s">
        <v>49</v>
      </c>
      <c r="B28" s="51" t="s">
        <v>50</v>
      </c>
      <c r="C28" s="58">
        <f>SUM(C30:C32)</f>
        <v>37095412.6</v>
      </c>
      <c r="D28" s="58">
        <f>SUM(D30:D32)</f>
        <v>40710845</v>
      </c>
      <c r="E28" s="58">
        <f>SUM(E30:E32)</f>
        <v>43932412</v>
      </c>
      <c r="F28" s="58">
        <f>SUM(F30:F32)</f>
        <v>47069119.4</v>
      </c>
      <c r="G28" s="58">
        <f>SUM(G30:G32)</f>
        <v>50366290.8</v>
      </c>
    </row>
    <row r="29" spans="1:7" s="216" customFormat="1" ht="8.25" customHeight="1">
      <c r="A29" s="213" t="s">
        <v>51</v>
      </c>
      <c r="B29" s="214"/>
      <c r="C29" s="215"/>
      <c r="D29" s="215"/>
      <c r="E29" s="215"/>
      <c r="F29" s="215"/>
      <c r="G29" s="215"/>
    </row>
    <row r="30" spans="1:7" s="65" customFormat="1" ht="12" customHeight="1">
      <c r="A30" s="68" t="s">
        <v>52</v>
      </c>
      <c r="B30" s="50" t="s">
        <v>50</v>
      </c>
      <c r="C30" s="176" t="s">
        <v>65</v>
      </c>
      <c r="D30" s="176" t="s">
        <v>65</v>
      </c>
      <c r="E30" s="176" t="s">
        <v>65</v>
      </c>
      <c r="F30" s="176" t="s">
        <v>65</v>
      </c>
      <c r="G30" s="176" t="s">
        <v>65</v>
      </c>
    </row>
    <row r="31" spans="1:7" s="65" customFormat="1" ht="12" customHeight="1">
      <c r="A31" s="68" t="s">
        <v>53</v>
      </c>
      <c r="B31" s="50" t="s">
        <v>50</v>
      </c>
      <c r="C31" s="58">
        <v>35153681.6</v>
      </c>
      <c r="D31" s="58">
        <v>38462802</v>
      </c>
      <c r="E31" s="58">
        <v>41546733</v>
      </c>
      <c r="F31" s="58">
        <v>44557831.4</v>
      </c>
      <c r="G31" s="58">
        <v>47732164.4</v>
      </c>
    </row>
    <row r="32" spans="1:7" s="65" customFormat="1" ht="12" customHeight="1">
      <c r="A32" s="69" t="s">
        <v>54</v>
      </c>
      <c r="B32" s="50" t="s">
        <v>50</v>
      </c>
      <c r="C32" s="58">
        <v>1941731</v>
      </c>
      <c r="D32" s="58">
        <v>2248043</v>
      </c>
      <c r="E32" s="58">
        <v>2385679</v>
      </c>
      <c r="F32" s="58">
        <v>2511288</v>
      </c>
      <c r="G32" s="58">
        <v>2634126.4</v>
      </c>
    </row>
    <row r="33" spans="1:7" s="65" customFormat="1" ht="24" customHeight="1">
      <c r="A33" s="69" t="s">
        <v>159</v>
      </c>
      <c r="B33" s="50" t="s">
        <v>17</v>
      </c>
      <c r="C33" s="62">
        <v>103.2</v>
      </c>
      <c r="D33" s="62">
        <f>(D31*103.841+D32*106.509)/D28</f>
        <v>103.98832631376234</v>
      </c>
      <c r="E33" s="62">
        <f>(E31*102.646+E32*100.116)/E28</f>
        <v>102.50861241768379</v>
      </c>
      <c r="F33" s="62">
        <f>(F31*102.14+F32*100.157)/F28</f>
        <v>102.03420061034751</v>
      </c>
      <c r="G33" s="62">
        <f>(G31*102.314+G32*100.183)/G28</f>
        <v>102.20254999506137</v>
      </c>
    </row>
    <row r="34" spans="1:7" s="182" customFormat="1" ht="10.5" customHeight="1">
      <c r="A34" s="272" t="s">
        <v>58</v>
      </c>
      <c r="B34" s="272"/>
      <c r="C34" s="272"/>
      <c r="D34" s="272"/>
      <c r="E34" s="272"/>
      <c r="F34" s="272"/>
      <c r="G34" s="272"/>
    </row>
    <row r="35" spans="1:7" s="56" customFormat="1" ht="24" customHeight="1">
      <c r="A35" s="70" t="s">
        <v>59</v>
      </c>
      <c r="B35" s="55" t="s">
        <v>50</v>
      </c>
      <c r="C35" s="58">
        <f>44718603+1984049</f>
        <v>46702652</v>
      </c>
      <c r="D35" s="58">
        <f>42598688+2274646</f>
        <v>44873334</v>
      </c>
      <c r="E35" s="58">
        <f>47018327+2413510</f>
        <v>49431837</v>
      </c>
      <c r="F35" s="58">
        <f>50607426+2529062</f>
        <v>53136488</v>
      </c>
      <c r="G35" s="58">
        <f>54022175+2641952</f>
        <v>56664127</v>
      </c>
    </row>
    <row r="36" spans="1:7" s="56" customFormat="1" ht="12" customHeight="1">
      <c r="A36" s="70" t="s">
        <v>60</v>
      </c>
      <c r="B36" s="55" t="s">
        <v>50</v>
      </c>
      <c r="C36" s="58">
        <f>SUM(C37:C38)</f>
        <v>-8216</v>
      </c>
      <c r="D36" s="58">
        <f>SUM(D37:D38)</f>
        <v>929689</v>
      </c>
      <c r="E36" s="58">
        <f>SUM(E37:E38)</f>
        <v>1323323</v>
      </c>
      <c r="F36" s="58">
        <f>SUM(F37:F38)</f>
        <v>1537433</v>
      </c>
      <c r="G36" s="58">
        <f>SUM(G37:G38)</f>
        <v>1728438</v>
      </c>
    </row>
    <row r="37" spans="1:7" s="56" customFormat="1" ht="12" customHeight="1">
      <c r="A37" s="70" t="s">
        <v>61</v>
      </c>
      <c r="B37" s="55" t="s">
        <v>50</v>
      </c>
      <c r="C37" s="58">
        <f>1484159+72751</f>
        <v>1556910</v>
      </c>
      <c r="D37" s="58">
        <f>1050855+48849</f>
        <v>1099704</v>
      </c>
      <c r="E37" s="58">
        <f>1276448+46875</f>
        <v>1323323</v>
      </c>
      <c r="F37" s="58">
        <f>1492457+44976</f>
        <v>1537433</v>
      </c>
      <c r="G37" s="58">
        <f>1687529+40909</f>
        <v>1728438</v>
      </c>
    </row>
    <row r="38" spans="1:7" s="56" customFormat="1" ht="12" customHeight="1">
      <c r="A38" s="70" t="s">
        <v>62</v>
      </c>
      <c r="B38" s="55" t="s">
        <v>50</v>
      </c>
      <c r="C38" s="58">
        <f>-1552039-13087</f>
        <v>-1565126</v>
      </c>
      <c r="D38" s="58">
        <f>-150015-20000</f>
        <v>-170015</v>
      </c>
      <c r="E38" s="58">
        <v>0</v>
      </c>
      <c r="F38" s="58">
        <v>0</v>
      </c>
      <c r="G38" s="58">
        <v>0</v>
      </c>
    </row>
  </sheetData>
  <sheetProtection/>
  <mergeCells count="20">
    <mergeCell ref="F24:F25"/>
    <mergeCell ref="G24:G25"/>
    <mergeCell ref="A1:A3"/>
    <mergeCell ref="B1:B3"/>
    <mergeCell ref="C1:G1"/>
    <mergeCell ref="C2:C3"/>
    <mergeCell ref="D2:D3"/>
    <mergeCell ref="E2:E3"/>
    <mergeCell ref="F2:F3"/>
    <mergeCell ref="G2:G3"/>
    <mergeCell ref="A26:G26"/>
    <mergeCell ref="A34:G34"/>
    <mergeCell ref="A4:G4"/>
    <mergeCell ref="A17:G17"/>
    <mergeCell ref="A23:A25"/>
    <mergeCell ref="B23:B25"/>
    <mergeCell ref="C23:G23"/>
    <mergeCell ref="C24:C25"/>
    <mergeCell ref="D24:D25"/>
    <mergeCell ref="E24:E25"/>
  </mergeCells>
  <printOptions horizontalCentered="1"/>
  <pageMargins left="0.23" right="0.2362204724409449" top="0.42" bottom="0.44" header="0.19" footer="0.17"/>
  <pageSetup firstPageNumber="181" useFirstPageNumber="1"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="80" zoomScaleNormal="80" zoomScaleSheetLayoutView="100" zoomScalePageLayoutView="0" workbookViewId="0" topLeftCell="A7">
      <selection activeCell="E26" sqref="E26"/>
    </sheetView>
  </sheetViews>
  <sheetFormatPr defaultColWidth="9.00390625" defaultRowHeight="12.75"/>
  <cols>
    <col min="1" max="1" width="59.875" style="33" customWidth="1"/>
    <col min="2" max="2" width="9.00390625" style="33" customWidth="1"/>
    <col min="3" max="7" width="14.125" style="33" customWidth="1"/>
    <col min="8" max="8" width="11.75390625" style="71" customWidth="1"/>
    <col min="9" max="9" width="12.00390625" style="71" customWidth="1"/>
    <col min="10" max="12" width="11.625" style="71" customWidth="1"/>
    <col min="13" max="13" width="4.00390625" style="33" customWidth="1"/>
    <col min="14" max="14" width="45.625" style="134" customWidth="1"/>
    <col min="15" max="16384" width="9.125" style="33" customWidth="1"/>
  </cols>
  <sheetData>
    <row r="1" spans="1:12" ht="44.25" customHeight="1">
      <c r="A1" s="267" t="s">
        <v>44</v>
      </c>
      <c r="B1" s="267" t="s">
        <v>45</v>
      </c>
      <c r="C1" s="273" t="s">
        <v>46</v>
      </c>
      <c r="D1" s="273"/>
      <c r="E1" s="273"/>
      <c r="F1" s="273"/>
      <c r="G1" s="273"/>
      <c r="H1" s="267" t="s">
        <v>155</v>
      </c>
      <c r="I1" s="267"/>
      <c r="J1" s="267"/>
      <c r="K1" s="267"/>
      <c r="L1" s="267"/>
    </row>
    <row r="2" spans="1:12" ht="21" customHeight="1">
      <c r="A2" s="267"/>
      <c r="B2" s="267"/>
      <c r="C2" s="267" t="s">
        <v>156</v>
      </c>
      <c r="D2" s="267" t="s">
        <v>157</v>
      </c>
      <c r="E2" s="267" t="s">
        <v>47</v>
      </c>
      <c r="F2" s="267" t="s">
        <v>48</v>
      </c>
      <c r="G2" s="267" t="s">
        <v>158</v>
      </c>
      <c r="H2" s="267" t="s">
        <v>156</v>
      </c>
      <c r="I2" s="267" t="s">
        <v>157</v>
      </c>
      <c r="J2" s="267" t="s">
        <v>47</v>
      </c>
      <c r="K2" s="267" t="s">
        <v>48</v>
      </c>
      <c r="L2" s="267" t="s">
        <v>158</v>
      </c>
    </row>
    <row r="3" spans="1:12" ht="21" customHeight="1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</row>
    <row r="4" spans="1:12" ht="32.25" customHeight="1">
      <c r="A4" s="271" t="s">
        <v>13</v>
      </c>
      <c r="B4" s="271"/>
      <c r="C4" s="271"/>
      <c r="D4" s="271"/>
      <c r="E4" s="271"/>
      <c r="F4" s="271"/>
      <c r="G4" s="271"/>
      <c r="H4" s="274"/>
      <c r="I4" s="275"/>
      <c r="J4" s="275"/>
      <c r="K4" s="275"/>
      <c r="L4" s="276"/>
    </row>
    <row r="5" spans="1:12" ht="33" customHeight="1">
      <c r="A5" s="34" t="s">
        <v>49</v>
      </c>
      <c r="B5" s="195" t="s">
        <v>50</v>
      </c>
      <c r="C5" s="36">
        <v>42142896.4</v>
      </c>
      <c r="D5" s="36">
        <v>46986815</v>
      </c>
      <c r="E5" s="36">
        <v>50775538</v>
      </c>
      <c r="F5" s="36">
        <v>54523476.7</v>
      </c>
      <c r="G5" s="36">
        <v>58454807</v>
      </c>
      <c r="H5" s="196">
        <f>SUM(H8:H9)</f>
        <v>6564582</v>
      </c>
      <c r="I5" s="196">
        <f>SUM(I8:I9)</f>
        <v>11655777</v>
      </c>
      <c r="J5" s="196">
        <f>SUM(J8:J9)</f>
        <v>12836620</v>
      </c>
      <c r="K5" s="196">
        <f>SUM(K8:K9)</f>
        <v>13975881</v>
      </c>
      <c r="L5" s="196">
        <f>SUM(L8:L9)</f>
        <v>15201460</v>
      </c>
    </row>
    <row r="6" spans="1:14" ht="21" customHeight="1">
      <c r="A6" s="197" t="s">
        <v>51</v>
      </c>
      <c r="B6" s="198"/>
      <c r="C6" s="130"/>
      <c r="D6" s="130"/>
      <c r="E6" s="130"/>
      <c r="F6" s="130"/>
      <c r="G6" s="130"/>
      <c r="H6" s="102"/>
      <c r="I6" s="102"/>
      <c r="J6" s="102"/>
      <c r="K6" s="102"/>
      <c r="L6" s="102"/>
      <c r="N6" s="199"/>
    </row>
    <row r="7" spans="1:14" ht="21" customHeight="1">
      <c r="A7" s="38" t="s">
        <v>52</v>
      </c>
      <c r="B7" s="198" t="s">
        <v>50</v>
      </c>
      <c r="C7" s="36">
        <v>168885</v>
      </c>
      <c r="D7" s="36">
        <v>173952</v>
      </c>
      <c r="E7" s="36">
        <v>180000</v>
      </c>
      <c r="F7" s="36">
        <v>185000</v>
      </c>
      <c r="G7" s="36">
        <v>190082</v>
      </c>
      <c r="H7" s="93" t="s">
        <v>65</v>
      </c>
      <c r="I7" s="93" t="s">
        <v>65</v>
      </c>
      <c r="J7" s="93" t="s">
        <v>65</v>
      </c>
      <c r="K7" s="93" t="s">
        <v>65</v>
      </c>
      <c r="L7" s="93" t="s">
        <v>65</v>
      </c>
      <c r="N7" s="200"/>
    </row>
    <row r="8" spans="1:14" ht="21" customHeight="1">
      <c r="A8" s="38" t="s">
        <v>53</v>
      </c>
      <c r="B8" s="198" t="s">
        <v>50</v>
      </c>
      <c r="C8" s="36">
        <v>40007905.2</v>
      </c>
      <c r="D8" s="36">
        <v>44538771</v>
      </c>
      <c r="E8" s="36">
        <v>48182649</v>
      </c>
      <c r="F8" s="36">
        <v>51798882.8</v>
      </c>
      <c r="G8" s="36">
        <v>55601259.4</v>
      </c>
      <c r="H8" s="196">
        <v>6271169</v>
      </c>
      <c r="I8" s="196">
        <v>11155777</v>
      </c>
      <c r="J8" s="196">
        <v>12296620</v>
      </c>
      <c r="K8" s="196">
        <v>13392681</v>
      </c>
      <c r="L8" s="196">
        <v>14571604</v>
      </c>
      <c r="N8" s="199"/>
    </row>
    <row r="9" spans="1:14" ht="21" customHeight="1">
      <c r="A9" s="39" t="s">
        <v>54</v>
      </c>
      <c r="B9" s="198" t="s">
        <v>50</v>
      </c>
      <c r="C9" s="36">
        <v>1966106</v>
      </c>
      <c r="D9" s="36">
        <v>2274092</v>
      </c>
      <c r="E9" s="36">
        <v>2412889</v>
      </c>
      <c r="F9" s="36">
        <v>2539594</v>
      </c>
      <c r="G9" s="36">
        <v>2663465.4</v>
      </c>
      <c r="H9" s="36">
        <v>293413</v>
      </c>
      <c r="I9" s="36">
        <v>500000</v>
      </c>
      <c r="J9" s="36">
        <v>540000</v>
      </c>
      <c r="K9" s="36">
        <v>583200</v>
      </c>
      <c r="L9" s="36">
        <v>629856</v>
      </c>
      <c r="N9" s="199"/>
    </row>
    <row r="10" spans="1:14" ht="33" customHeight="1">
      <c r="A10" s="39" t="s">
        <v>55</v>
      </c>
      <c r="B10" s="198" t="s">
        <v>17</v>
      </c>
      <c r="C10" s="40">
        <v>102</v>
      </c>
      <c r="D10" s="40">
        <v>105.68175544692699</v>
      </c>
      <c r="E10" s="40">
        <v>102.70820836754106</v>
      </c>
      <c r="F10" s="40">
        <v>102.3259284387637</v>
      </c>
      <c r="G10" s="40">
        <v>102.46552382236955</v>
      </c>
      <c r="H10" s="201">
        <v>78.2</v>
      </c>
      <c r="I10" s="201">
        <v>168.2</v>
      </c>
      <c r="J10" s="201">
        <v>104.5</v>
      </c>
      <c r="K10" s="201">
        <v>103.7</v>
      </c>
      <c r="L10" s="201">
        <v>103.9</v>
      </c>
      <c r="N10" s="199"/>
    </row>
    <row r="11" spans="1:14" ht="20.25" customHeight="1">
      <c r="A11" s="197" t="s">
        <v>51</v>
      </c>
      <c r="B11" s="198"/>
      <c r="C11" s="131"/>
      <c r="D11" s="131"/>
      <c r="E11" s="131"/>
      <c r="F11" s="131"/>
      <c r="G11" s="131"/>
      <c r="H11" s="102"/>
      <c r="I11" s="102"/>
      <c r="J11" s="102"/>
      <c r="K11" s="102"/>
      <c r="L11" s="102"/>
      <c r="N11" s="199"/>
    </row>
    <row r="12" spans="1:14" ht="20.25" customHeight="1">
      <c r="A12" s="38" t="s">
        <v>52</v>
      </c>
      <c r="B12" s="198" t="s">
        <v>17</v>
      </c>
      <c r="C12" s="40">
        <v>105.642</v>
      </c>
      <c r="D12" s="40">
        <v>102.795</v>
      </c>
      <c r="E12" s="40">
        <v>101.349</v>
      </c>
      <c r="F12" s="40">
        <v>101.459</v>
      </c>
      <c r="G12" s="40">
        <v>101.73</v>
      </c>
      <c r="H12" s="202"/>
      <c r="I12" s="202"/>
      <c r="J12" s="202"/>
      <c r="K12" s="202"/>
      <c r="L12" s="202"/>
      <c r="N12" s="199"/>
    </row>
    <row r="13" spans="1:14" ht="20.25" customHeight="1">
      <c r="A13" s="38" t="s">
        <v>53</v>
      </c>
      <c r="B13" s="198" t="s">
        <v>17</v>
      </c>
      <c r="C13" s="40">
        <v>103.279</v>
      </c>
      <c r="D13" s="40">
        <v>105.656</v>
      </c>
      <c r="E13" s="40">
        <v>102.844</v>
      </c>
      <c r="F13" s="40">
        <v>102.436</v>
      </c>
      <c r="G13" s="40">
        <v>102.578</v>
      </c>
      <c r="H13" s="201">
        <v>79.6</v>
      </c>
      <c r="I13" s="201">
        <v>168.8</v>
      </c>
      <c r="J13" s="201">
        <v>104.6</v>
      </c>
      <c r="K13" s="201">
        <v>103.7</v>
      </c>
      <c r="L13" s="201">
        <v>103.9</v>
      </c>
      <c r="N13" s="199"/>
    </row>
    <row r="14" spans="1:12" ht="20.25" customHeight="1">
      <c r="A14" s="39" t="s">
        <v>54</v>
      </c>
      <c r="B14" s="198" t="s">
        <v>17</v>
      </c>
      <c r="C14" s="40">
        <v>83.284</v>
      </c>
      <c r="D14" s="40">
        <v>106.407</v>
      </c>
      <c r="E14" s="40">
        <v>100.098</v>
      </c>
      <c r="F14" s="40">
        <v>100.144</v>
      </c>
      <c r="G14" s="40">
        <v>100.17</v>
      </c>
      <c r="H14" s="202">
        <v>57.8</v>
      </c>
      <c r="I14" s="202">
        <v>156.8</v>
      </c>
      <c r="J14" s="202">
        <v>101.9</v>
      </c>
      <c r="K14" s="202">
        <v>102.8</v>
      </c>
      <c r="L14" s="202">
        <v>103.2</v>
      </c>
    </row>
    <row r="15" spans="1:12" ht="20.25" customHeight="1">
      <c r="A15" s="42" t="s">
        <v>56</v>
      </c>
      <c r="B15" s="198" t="s">
        <v>50</v>
      </c>
      <c r="C15" s="36">
        <v>5047483.799999997</v>
      </c>
      <c r="D15" s="36">
        <v>6275970</v>
      </c>
      <c r="E15" s="36">
        <v>6843126</v>
      </c>
      <c r="F15" s="36">
        <v>7454357.3000000045</v>
      </c>
      <c r="G15" s="36">
        <v>8088515.6000000015</v>
      </c>
      <c r="H15" s="93" t="s">
        <v>65</v>
      </c>
      <c r="I15" s="93" t="s">
        <v>65</v>
      </c>
      <c r="J15" s="52">
        <v>5000</v>
      </c>
      <c r="K15" s="52">
        <v>60000</v>
      </c>
      <c r="L15" s="52">
        <v>100000</v>
      </c>
    </row>
    <row r="16" spans="1:12" ht="33" customHeight="1">
      <c r="A16" s="39" t="s">
        <v>57</v>
      </c>
      <c r="B16" s="198" t="s">
        <v>17</v>
      </c>
      <c r="C16" s="40">
        <v>94.491</v>
      </c>
      <c r="D16" s="40">
        <v>118.157</v>
      </c>
      <c r="E16" s="40">
        <v>103.997</v>
      </c>
      <c r="F16" s="40">
        <v>104.189</v>
      </c>
      <c r="G16" s="40">
        <v>104.12</v>
      </c>
      <c r="H16" s="93" t="s">
        <v>65</v>
      </c>
      <c r="I16" s="93" t="s">
        <v>65</v>
      </c>
      <c r="J16" s="93" t="s">
        <v>65</v>
      </c>
      <c r="K16" s="201" t="s">
        <v>160</v>
      </c>
      <c r="L16" s="202">
        <v>159.9</v>
      </c>
    </row>
    <row r="17" spans="1:12" ht="36.75" customHeight="1">
      <c r="A17" s="280" t="s">
        <v>58</v>
      </c>
      <c r="B17" s="280"/>
      <c r="C17" s="280"/>
      <c r="D17" s="280"/>
      <c r="E17" s="280"/>
      <c r="F17" s="280"/>
      <c r="G17" s="280"/>
      <c r="H17" s="277"/>
      <c r="I17" s="278"/>
      <c r="J17" s="278"/>
      <c r="K17" s="278"/>
      <c r="L17" s="279"/>
    </row>
    <row r="18" spans="1:12" ht="33" customHeight="1">
      <c r="A18" s="43" t="s">
        <v>59</v>
      </c>
      <c r="B18" s="108" t="s">
        <v>50</v>
      </c>
      <c r="C18" s="36">
        <v>53708448</v>
      </c>
      <c r="D18" s="36">
        <v>53600066</v>
      </c>
      <c r="E18" s="36">
        <v>58953312</v>
      </c>
      <c r="F18" s="36">
        <v>63516384</v>
      </c>
      <c r="G18" s="36">
        <v>67934957</v>
      </c>
      <c r="H18" s="36">
        <v>13662876</v>
      </c>
      <c r="I18" s="36">
        <v>14182227</v>
      </c>
      <c r="J18" s="36">
        <v>15671788</v>
      </c>
      <c r="K18" s="36">
        <v>17045065</v>
      </c>
      <c r="L18" s="36">
        <v>18435076</v>
      </c>
    </row>
    <row r="19" spans="1:12" ht="21" customHeight="1">
      <c r="A19" s="43" t="s">
        <v>60</v>
      </c>
      <c r="B19" s="108" t="s">
        <v>50</v>
      </c>
      <c r="C19" s="36">
        <v>247344</v>
      </c>
      <c r="D19" s="36">
        <v>1449768</v>
      </c>
      <c r="E19" s="36">
        <v>1870987</v>
      </c>
      <c r="F19" s="36">
        <v>2116613</v>
      </c>
      <c r="G19" s="36">
        <v>2332443</v>
      </c>
      <c r="H19" s="36">
        <f>SUM(H20:H21)</f>
        <v>-570855</v>
      </c>
      <c r="I19" s="36">
        <f>SUM(I20:I21)</f>
        <v>158234</v>
      </c>
      <c r="J19" s="36">
        <f>SUM(J20:J21)</f>
        <v>372039</v>
      </c>
      <c r="K19" s="36">
        <f>SUM(K20:K21)</f>
        <v>455583</v>
      </c>
      <c r="L19" s="36">
        <f>SUM(L20:L21)</f>
        <v>512869</v>
      </c>
    </row>
    <row r="20" spans="1:12" ht="21" customHeight="1">
      <c r="A20" s="43" t="s">
        <v>61</v>
      </c>
      <c r="B20" s="108" t="s">
        <v>50</v>
      </c>
      <c r="C20" s="36">
        <v>1872333</v>
      </c>
      <c r="D20" s="36">
        <v>1656833</v>
      </c>
      <c r="E20" s="36">
        <v>1899487</v>
      </c>
      <c r="F20" s="36">
        <v>2141253</v>
      </c>
      <c r="G20" s="36">
        <v>2355083</v>
      </c>
      <c r="H20" s="36">
        <v>603504</v>
      </c>
      <c r="I20" s="36">
        <v>258234</v>
      </c>
      <c r="J20" s="36">
        <v>372039</v>
      </c>
      <c r="K20" s="36">
        <v>455583</v>
      </c>
      <c r="L20" s="36">
        <v>512869</v>
      </c>
    </row>
    <row r="21" spans="1:12" ht="21" customHeight="1">
      <c r="A21" s="43" t="s">
        <v>62</v>
      </c>
      <c r="B21" s="108" t="s">
        <v>50</v>
      </c>
      <c r="C21" s="36">
        <v>-1624989</v>
      </c>
      <c r="D21" s="36">
        <v>-207065</v>
      </c>
      <c r="E21" s="36">
        <v>-28500</v>
      </c>
      <c r="F21" s="36">
        <v>-24640</v>
      </c>
      <c r="G21" s="36">
        <v>-22640</v>
      </c>
      <c r="H21" s="36">
        <v>-1174359</v>
      </c>
      <c r="I21" s="36">
        <v>-100000</v>
      </c>
      <c r="J21" s="93" t="s">
        <v>65</v>
      </c>
      <c r="K21" s="93" t="s">
        <v>65</v>
      </c>
      <c r="L21" s="93" t="s">
        <v>65</v>
      </c>
    </row>
    <row r="22" spans="1:12" ht="17.25" customHeight="1">
      <c r="A22" s="45"/>
      <c r="B22" s="46"/>
      <c r="C22" s="132"/>
      <c r="D22" s="133"/>
      <c r="E22" s="133"/>
      <c r="F22" s="133"/>
      <c r="G22" s="133"/>
      <c r="H22" s="135"/>
      <c r="I22" s="135"/>
      <c r="J22" s="135"/>
      <c r="K22" s="135"/>
      <c r="L22" s="135"/>
    </row>
  </sheetData>
  <sheetProtection/>
  <mergeCells count="18">
    <mergeCell ref="H1:L1"/>
    <mergeCell ref="I2:I3"/>
    <mergeCell ref="J2:J3"/>
    <mergeCell ref="C2:C3"/>
    <mergeCell ref="D2:D3"/>
    <mergeCell ref="E2:E3"/>
    <mergeCell ref="F2:F3"/>
    <mergeCell ref="G2:G3"/>
    <mergeCell ref="H2:H3"/>
    <mergeCell ref="A4:G4"/>
    <mergeCell ref="A17:G17"/>
    <mergeCell ref="A1:A3"/>
    <mergeCell ref="B1:B3"/>
    <mergeCell ref="C1:G1"/>
    <mergeCell ref="H4:L4"/>
    <mergeCell ref="H17:L17"/>
    <mergeCell ref="K2:K3"/>
    <mergeCell ref="L2:L3"/>
  </mergeCells>
  <printOptions horizontalCentered="1"/>
  <pageMargins left="0.2362204724409449" right="0.2362204724409449" top="1.1811023622047245" bottom="0.2755905511811024" header="0.2755905511811024" footer="0.1968503937007874"/>
  <pageSetup firstPageNumber="182" useFirstPageNumber="1" fitToHeight="1" fitToWidth="1" horizontalDpi="300" verticalDpi="300" orientation="landscape" paperSize="9" scale="7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36"/>
  <sheetViews>
    <sheetView zoomScale="98" zoomScaleNormal="98" zoomScaleSheetLayoutView="110" zoomScalePageLayoutView="0" workbookViewId="0" topLeftCell="A1">
      <selection activeCell="N5" sqref="N5"/>
    </sheetView>
  </sheetViews>
  <sheetFormatPr defaultColWidth="9.00390625" defaultRowHeight="12.75"/>
  <cols>
    <col min="1" max="1" width="51.625" style="33" customWidth="1"/>
    <col min="2" max="2" width="9.00390625" style="33" customWidth="1"/>
    <col min="3" max="4" width="13.25390625" style="33" customWidth="1"/>
    <col min="5" max="5" width="13.375" style="33" customWidth="1"/>
    <col min="6" max="6" width="13.25390625" style="33" customWidth="1"/>
    <col min="7" max="7" width="13.625" style="33" customWidth="1"/>
    <col min="8" max="8" width="10.75390625" style="71" hidden="1" customWidth="1"/>
    <col min="9" max="9" width="9.125" style="71" hidden="1" customWidth="1"/>
    <col min="10" max="21" width="9.125" style="71" customWidth="1"/>
    <col min="22" max="16384" width="9.125" style="33" customWidth="1"/>
  </cols>
  <sheetData>
    <row r="1" spans="1:21" ht="18" customHeight="1">
      <c r="A1" s="267" t="s">
        <v>44</v>
      </c>
      <c r="B1" s="267" t="s">
        <v>45</v>
      </c>
      <c r="C1" s="264" t="s">
        <v>46</v>
      </c>
      <c r="D1" s="265"/>
      <c r="E1" s="265"/>
      <c r="F1" s="265"/>
      <c r="G1" s="266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ht="13.5" customHeight="1">
      <c r="A2" s="267"/>
      <c r="B2" s="267"/>
      <c r="C2" s="267" t="s">
        <v>161</v>
      </c>
      <c r="D2" s="267" t="s">
        <v>157</v>
      </c>
      <c r="E2" s="267" t="s">
        <v>162</v>
      </c>
      <c r="F2" s="267" t="s">
        <v>163</v>
      </c>
      <c r="G2" s="267" t="s">
        <v>164</v>
      </c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1" ht="9" customHeight="1">
      <c r="A3" s="281"/>
      <c r="B3" s="281"/>
      <c r="C3" s="281"/>
      <c r="D3" s="281"/>
      <c r="E3" s="281"/>
      <c r="F3" s="281"/>
      <c r="G3" s="281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1:21" ht="15" customHeight="1">
      <c r="A4" s="282" t="s">
        <v>140</v>
      </c>
      <c r="B4" s="282"/>
      <c r="C4" s="282"/>
      <c r="D4" s="282"/>
      <c r="E4" s="282"/>
      <c r="F4" s="282"/>
      <c r="G4" s="28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21" s="56" customFormat="1" ht="21.75" customHeight="1">
      <c r="A5" s="184" t="s">
        <v>66</v>
      </c>
      <c r="B5" s="136" t="s">
        <v>50</v>
      </c>
      <c r="C5" s="185">
        <v>5780192</v>
      </c>
      <c r="D5" s="185">
        <v>5734738</v>
      </c>
      <c r="E5" s="185">
        <v>5957620</v>
      </c>
      <c r="F5" s="185">
        <v>6102924</v>
      </c>
      <c r="G5" s="185">
        <v>6366373</v>
      </c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</row>
    <row r="6" spans="1:21" s="56" customFormat="1" ht="14.25" customHeight="1">
      <c r="A6" s="186" t="s">
        <v>16</v>
      </c>
      <c r="B6" s="136" t="s">
        <v>17</v>
      </c>
      <c r="C6" s="187">
        <f>C5/6492537/1.018*100</f>
        <v>87.45407553596917</v>
      </c>
      <c r="D6" s="187">
        <f>D5/C5/1.032*100</f>
        <v>96.1372332729893</v>
      </c>
      <c r="E6" s="187">
        <f>E5/D5/1.033*100</f>
        <v>100.56778755631399</v>
      </c>
      <c r="F6" s="187">
        <f>F5/E5/1.04*100</f>
        <v>98.4990005043315</v>
      </c>
      <c r="G6" s="187">
        <f>G5/F5/1.038*100</f>
        <v>100.4978486013039</v>
      </c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</row>
    <row r="7" spans="1:21" s="56" customFormat="1" ht="12">
      <c r="A7" s="184" t="s">
        <v>67</v>
      </c>
      <c r="B7" s="136" t="s">
        <v>50</v>
      </c>
      <c r="C7" s="185">
        <v>867214</v>
      </c>
      <c r="D7" s="185">
        <v>912900</v>
      </c>
      <c r="E7" s="185">
        <v>1007400</v>
      </c>
      <c r="F7" s="185">
        <v>1134800</v>
      </c>
      <c r="G7" s="185">
        <v>1227800</v>
      </c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</row>
    <row r="8" spans="1:21" ht="15" customHeight="1">
      <c r="A8" s="282" t="s">
        <v>139</v>
      </c>
      <c r="B8" s="282"/>
      <c r="C8" s="282"/>
      <c r="D8" s="282"/>
      <c r="E8" s="282"/>
      <c r="F8" s="282"/>
      <c r="G8" s="28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s="56" customFormat="1" ht="21.75" customHeight="1">
      <c r="A9" s="184" t="s">
        <v>20</v>
      </c>
      <c r="B9" s="136" t="s">
        <v>50</v>
      </c>
      <c r="C9" s="185">
        <f>SUM(C12:C14)</f>
        <v>7833026</v>
      </c>
      <c r="D9" s="185">
        <f>SUM(D12:D14)</f>
        <v>8241676</v>
      </c>
      <c r="E9" s="185">
        <f>SUM(E12:E14)</f>
        <v>7824792</v>
      </c>
      <c r="F9" s="185">
        <f>SUM(F12:F14)</f>
        <v>6938426</v>
      </c>
      <c r="G9" s="185">
        <f>SUM(G12:G14)</f>
        <v>6606547</v>
      </c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</row>
    <row r="10" spans="1:21" s="56" customFormat="1" ht="14.25" customHeight="1">
      <c r="A10" s="186" t="s">
        <v>16</v>
      </c>
      <c r="B10" s="136" t="s">
        <v>17</v>
      </c>
      <c r="C10" s="187">
        <f>C9/8856367/1.152*100</f>
        <v>76.77529325637829</v>
      </c>
      <c r="D10" s="187">
        <f>D9/C9/1.06*100</f>
        <v>99.26133320297735</v>
      </c>
      <c r="E10" s="187">
        <f>E9/D9/1.054*100</f>
        <v>90.07756830374362</v>
      </c>
      <c r="F10" s="187">
        <f>F9/E9/1.05*100</f>
        <v>84.4498455921226</v>
      </c>
      <c r="G10" s="187">
        <f>G9/F9/1.046*100</f>
        <v>91.02944264668082</v>
      </c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</row>
    <row r="11" spans="1:21" s="56" customFormat="1" ht="12">
      <c r="A11" s="184" t="s">
        <v>68</v>
      </c>
      <c r="B11" s="136"/>
      <c r="C11" s="185"/>
      <c r="D11" s="185"/>
      <c r="E11" s="185"/>
      <c r="F11" s="185"/>
      <c r="G11" s="185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</row>
    <row r="12" spans="1:21" s="56" customFormat="1" ht="12">
      <c r="A12" s="184" t="s">
        <v>69</v>
      </c>
      <c r="B12" s="136" t="s">
        <v>50</v>
      </c>
      <c r="C12" s="185">
        <v>2282688</v>
      </c>
      <c r="D12" s="185">
        <v>2046723</v>
      </c>
      <c r="E12" s="185">
        <v>1968807</v>
      </c>
      <c r="F12" s="185">
        <v>1464850</v>
      </c>
      <c r="G12" s="185">
        <v>1157074</v>
      </c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</row>
    <row r="13" spans="1:21" s="56" customFormat="1" ht="12">
      <c r="A13" s="184" t="s">
        <v>70</v>
      </c>
      <c r="B13" s="136" t="s">
        <v>50</v>
      </c>
      <c r="C13" s="185">
        <v>1794940</v>
      </c>
      <c r="D13" s="185">
        <v>1899271</v>
      </c>
      <c r="E13" s="185">
        <v>1855251</v>
      </c>
      <c r="F13" s="185">
        <v>1380820</v>
      </c>
      <c r="G13" s="185">
        <v>1234049</v>
      </c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</row>
    <row r="14" spans="1:21" s="56" customFormat="1" ht="12">
      <c r="A14" s="184" t="s">
        <v>71</v>
      </c>
      <c r="B14" s="136" t="s">
        <v>50</v>
      </c>
      <c r="C14" s="185">
        <v>3755398</v>
      </c>
      <c r="D14" s="185">
        <v>4295682</v>
      </c>
      <c r="E14" s="185">
        <v>4000734</v>
      </c>
      <c r="F14" s="185">
        <v>4092756</v>
      </c>
      <c r="G14" s="185">
        <v>4215424</v>
      </c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</row>
    <row r="15" spans="1:21" s="56" customFormat="1" ht="12">
      <c r="A15" s="184" t="s">
        <v>72</v>
      </c>
      <c r="B15" s="136" t="s">
        <v>50</v>
      </c>
      <c r="C15" s="185">
        <v>184230</v>
      </c>
      <c r="D15" s="185">
        <v>68000</v>
      </c>
      <c r="E15" s="185">
        <v>68000</v>
      </c>
      <c r="F15" s="185">
        <v>69000</v>
      </c>
      <c r="G15" s="185">
        <v>70000</v>
      </c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</row>
    <row r="16" spans="1:21" ht="15" customHeight="1">
      <c r="A16" s="282" t="s">
        <v>73</v>
      </c>
      <c r="B16" s="282"/>
      <c r="C16" s="282"/>
      <c r="D16" s="282"/>
      <c r="E16" s="282"/>
      <c r="F16" s="282"/>
      <c r="G16" s="28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:21" s="56" customFormat="1" ht="12">
      <c r="A17" s="184" t="s">
        <v>74</v>
      </c>
      <c r="B17" s="136" t="s">
        <v>75</v>
      </c>
      <c r="C17" s="185">
        <v>46108</v>
      </c>
      <c r="D17" s="185">
        <v>96233</v>
      </c>
      <c r="E17" s="185">
        <v>102178</v>
      </c>
      <c r="F17" s="185">
        <v>99847</v>
      </c>
      <c r="G17" s="185">
        <v>103764</v>
      </c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</row>
    <row r="18" spans="1:21" s="56" customFormat="1" ht="12">
      <c r="A18" s="184" t="s">
        <v>76</v>
      </c>
      <c r="B18" s="136" t="s">
        <v>75</v>
      </c>
      <c r="C18" s="185">
        <v>8010</v>
      </c>
      <c r="D18" s="185">
        <v>3000</v>
      </c>
      <c r="E18" s="185">
        <v>3000</v>
      </c>
      <c r="F18" s="185">
        <v>3000</v>
      </c>
      <c r="G18" s="185">
        <v>3000</v>
      </c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</row>
    <row r="19" spans="1:21" s="56" customFormat="1" ht="21.75" customHeight="1">
      <c r="A19" s="184" t="s">
        <v>77</v>
      </c>
      <c r="B19" s="136" t="s">
        <v>78</v>
      </c>
      <c r="C19" s="185"/>
      <c r="D19" s="185">
        <v>250</v>
      </c>
      <c r="E19" s="185"/>
      <c r="F19" s="185"/>
      <c r="G19" s="185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</row>
    <row r="20" spans="1:21" s="56" customFormat="1" ht="12">
      <c r="A20" s="184" t="s">
        <v>79</v>
      </c>
      <c r="B20" s="136" t="s">
        <v>78</v>
      </c>
      <c r="C20" s="185"/>
      <c r="D20" s="185"/>
      <c r="E20" s="185"/>
      <c r="F20" s="185"/>
      <c r="G20" s="185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</row>
    <row r="21" spans="1:21" s="56" customFormat="1" ht="12">
      <c r="A21" s="184" t="s">
        <v>80</v>
      </c>
      <c r="B21" s="136" t="s">
        <v>78</v>
      </c>
      <c r="C21" s="185"/>
      <c r="D21" s="185"/>
      <c r="E21" s="185"/>
      <c r="F21" s="185"/>
      <c r="G21" s="185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</row>
    <row r="22" spans="1:21" s="56" customFormat="1" ht="21.75" customHeight="1">
      <c r="A22" s="184" t="s">
        <v>81</v>
      </c>
      <c r="B22" s="136" t="s">
        <v>78</v>
      </c>
      <c r="C22" s="185"/>
      <c r="D22" s="185"/>
      <c r="E22" s="185"/>
      <c r="F22" s="185"/>
      <c r="G22" s="185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</row>
    <row r="23" spans="1:8" ht="12" customHeight="1">
      <c r="A23" s="48"/>
      <c r="B23" s="73"/>
      <c r="C23" s="73"/>
      <c r="D23" s="47"/>
      <c r="E23" s="46"/>
      <c r="F23" s="48"/>
      <c r="G23" s="48"/>
      <c r="H23" s="177"/>
    </row>
    <row r="24" spans="1:8" ht="19.5" customHeight="1">
      <c r="A24" s="267" t="s">
        <v>44</v>
      </c>
      <c r="B24" s="267" t="s">
        <v>45</v>
      </c>
      <c r="C24" s="267" t="s">
        <v>63</v>
      </c>
      <c r="D24" s="267"/>
      <c r="E24" s="267"/>
      <c r="F24" s="267"/>
      <c r="G24" s="267"/>
      <c r="H24" s="72"/>
    </row>
    <row r="25" spans="1:8" ht="12" customHeight="1">
      <c r="A25" s="267"/>
      <c r="B25" s="267"/>
      <c r="C25" s="267" t="s">
        <v>165</v>
      </c>
      <c r="D25" s="267" t="s">
        <v>157</v>
      </c>
      <c r="E25" s="267" t="s">
        <v>162</v>
      </c>
      <c r="F25" s="267" t="s">
        <v>163</v>
      </c>
      <c r="G25" s="267" t="s">
        <v>164</v>
      </c>
      <c r="H25" s="72"/>
    </row>
    <row r="26" spans="1:8" ht="12" customHeight="1">
      <c r="A26" s="267"/>
      <c r="B26" s="267"/>
      <c r="C26" s="267"/>
      <c r="D26" s="267"/>
      <c r="E26" s="267"/>
      <c r="F26" s="267"/>
      <c r="G26" s="267"/>
      <c r="H26" s="72"/>
    </row>
    <row r="27" spans="1:21" ht="15" customHeight="1">
      <c r="A27" s="282" t="s">
        <v>140</v>
      </c>
      <c r="B27" s="282"/>
      <c r="C27" s="282"/>
      <c r="D27" s="282"/>
      <c r="E27" s="282"/>
      <c r="F27" s="282"/>
      <c r="G27" s="28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</row>
    <row r="28" spans="1:21" s="56" customFormat="1" ht="21.75" customHeight="1">
      <c r="A28" s="64" t="s">
        <v>66</v>
      </c>
      <c r="B28" s="44" t="s">
        <v>50</v>
      </c>
      <c r="C28" s="178">
        <v>709315</v>
      </c>
      <c r="D28" s="178">
        <v>575000</v>
      </c>
      <c r="E28" s="178">
        <v>630000</v>
      </c>
      <c r="F28" s="178">
        <v>700000</v>
      </c>
      <c r="G28" s="178">
        <v>750000</v>
      </c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</row>
    <row r="29" spans="1:21" s="56" customFormat="1" ht="14.25" customHeight="1">
      <c r="A29" s="180" t="s">
        <v>16</v>
      </c>
      <c r="B29" s="44" t="s">
        <v>17</v>
      </c>
      <c r="C29" s="181">
        <f>C28/841385/1.018*100</f>
        <v>82.81263446333976</v>
      </c>
      <c r="D29" s="181">
        <f>D28/C28/1.032*100</f>
        <v>78.5505089608508</v>
      </c>
      <c r="E29" s="181">
        <f>E28/D28/1.033*100</f>
        <v>106.06507007870702</v>
      </c>
      <c r="F29" s="181">
        <f>F28/E28/1.04*100</f>
        <v>106.83760683760684</v>
      </c>
      <c r="G29" s="181">
        <f>G28/F28/1.038*100</f>
        <v>103.22047894302229</v>
      </c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</row>
    <row r="30" spans="1:21" s="56" customFormat="1" ht="12">
      <c r="A30" s="64" t="s">
        <v>67</v>
      </c>
      <c r="B30" s="44" t="s">
        <v>50</v>
      </c>
      <c r="C30" s="178">
        <v>247210</v>
      </c>
      <c r="D30" s="178">
        <v>250000</v>
      </c>
      <c r="E30" s="178">
        <v>300000</v>
      </c>
      <c r="F30" s="178">
        <v>350000</v>
      </c>
      <c r="G30" s="178">
        <v>400000</v>
      </c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</row>
    <row r="31" spans="1:21" ht="15" customHeight="1">
      <c r="A31" s="282" t="s">
        <v>139</v>
      </c>
      <c r="B31" s="282"/>
      <c r="C31" s="282"/>
      <c r="D31" s="282"/>
      <c r="E31" s="282"/>
      <c r="F31" s="282"/>
      <c r="G31" s="28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1:21" s="56" customFormat="1" ht="21.75" customHeight="1">
      <c r="A32" s="64" t="s">
        <v>20</v>
      </c>
      <c r="B32" s="44" t="s">
        <v>50</v>
      </c>
      <c r="C32" s="178">
        <f>SUM(C34:C36)</f>
        <v>5272380</v>
      </c>
      <c r="D32" s="178">
        <f>SUM(D34:D36)</f>
        <v>3920305</v>
      </c>
      <c r="E32" s="178">
        <f>SUM(E34:E36)</f>
        <v>4752322</v>
      </c>
      <c r="F32" s="178">
        <f>SUM(F34:F36)</f>
        <v>3248790</v>
      </c>
      <c r="G32" s="178">
        <f>SUM(G34:G36)</f>
        <v>2248239</v>
      </c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</row>
    <row r="33" spans="1:8" s="182" customFormat="1" ht="12.75" customHeight="1">
      <c r="A33" s="180" t="s">
        <v>16</v>
      </c>
      <c r="B33" s="44" t="s">
        <v>17</v>
      </c>
      <c r="C33" s="181">
        <f>C32/5070513/1.152*100</f>
        <v>90.26145382133917</v>
      </c>
      <c r="D33" s="181">
        <f>D32/C32/1.06*100</f>
        <v>70.14670686475986</v>
      </c>
      <c r="E33" s="181">
        <f>E32/D32/1.054*100</f>
        <v>115.0125921905831</v>
      </c>
      <c r="F33" s="181">
        <f>F32/E32/1.05*100</f>
        <v>65.10681966175092</v>
      </c>
      <c r="G33" s="181">
        <f>G32/F32/1.046*100</f>
        <v>66.1590336350965</v>
      </c>
      <c r="H33" s="179"/>
    </row>
    <row r="34" spans="1:21" s="56" customFormat="1" ht="12">
      <c r="A34" s="64" t="s">
        <v>69</v>
      </c>
      <c r="B34" s="44" t="s">
        <v>50</v>
      </c>
      <c r="C34" s="178">
        <v>2026520</v>
      </c>
      <c r="D34" s="178">
        <v>1845520</v>
      </c>
      <c r="E34" s="178">
        <v>1612037</v>
      </c>
      <c r="F34" s="178">
        <v>1026689</v>
      </c>
      <c r="G34" s="178">
        <v>814481</v>
      </c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</row>
    <row r="35" spans="1:21" s="56" customFormat="1" ht="12">
      <c r="A35" s="64" t="s">
        <v>70</v>
      </c>
      <c r="B35" s="44" t="s">
        <v>50</v>
      </c>
      <c r="C35" s="178">
        <v>1782992</v>
      </c>
      <c r="D35" s="178">
        <v>1888466</v>
      </c>
      <c r="E35" s="178">
        <v>1855251</v>
      </c>
      <c r="F35" s="178">
        <v>1380820</v>
      </c>
      <c r="G35" s="178">
        <v>1234049</v>
      </c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s="56" customFormat="1" ht="12">
      <c r="A36" s="64" t="s">
        <v>71</v>
      </c>
      <c r="B36" s="44" t="s">
        <v>50</v>
      </c>
      <c r="C36" s="178">
        <v>1462868</v>
      </c>
      <c r="D36" s="178">
        <v>186319</v>
      </c>
      <c r="E36" s="178">
        <v>1285034</v>
      </c>
      <c r="F36" s="178">
        <v>841281</v>
      </c>
      <c r="G36" s="178">
        <v>199709</v>
      </c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</sheetData>
  <sheetProtection/>
  <mergeCells count="21">
    <mergeCell ref="A31:G31"/>
    <mergeCell ref="A24:A26"/>
    <mergeCell ref="B24:B26"/>
    <mergeCell ref="C24:G24"/>
    <mergeCell ref="C25:C26"/>
    <mergeCell ref="A27:G27"/>
    <mergeCell ref="D25:D26"/>
    <mergeCell ref="F25:F26"/>
    <mergeCell ref="G25:G26"/>
    <mergeCell ref="E2:E3"/>
    <mergeCell ref="A8:G8"/>
    <mergeCell ref="E25:E26"/>
    <mergeCell ref="A16:G16"/>
    <mergeCell ref="F2:F3"/>
    <mergeCell ref="G2:G3"/>
    <mergeCell ref="A4:G4"/>
    <mergeCell ref="A1:A3"/>
    <mergeCell ref="C1:G1"/>
    <mergeCell ref="D2:D3"/>
    <mergeCell ref="B1:B3"/>
    <mergeCell ref="C2:C3"/>
  </mergeCells>
  <printOptions horizontalCentered="1"/>
  <pageMargins left="0.8267716535433072" right="0.2362204724409449" top="0.48" bottom="0.15748031496062992" header="0.2755905511811024" footer="0.1968503937007874"/>
  <pageSetup firstPageNumber="183" useFirstPageNumber="1" fitToHeight="8" horizontalDpi="300" verticalDpi="300" orientation="landscape" paperSize="9" scale="9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4">
      <selection activeCell="H2" sqref="H2:H3"/>
    </sheetView>
  </sheetViews>
  <sheetFormatPr defaultColWidth="9.00390625" defaultRowHeight="12.75"/>
  <cols>
    <col min="1" max="1" width="30.375" style="0" customWidth="1"/>
    <col min="2" max="12" width="9.75390625" style="0" customWidth="1"/>
  </cols>
  <sheetData>
    <row r="1" spans="1:12" s="74" customFormat="1" ht="55.5" customHeight="1">
      <c r="A1" s="285" t="s">
        <v>44</v>
      </c>
      <c r="B1" s="293" t="s">
        <v>45</v>
      </c>
      <c r="C1" s="293" t="s">
        <v>46</v>
      </c>
      <c r="D1" s="293"/>
      <c r="E1" s="293"/>
      <c r="F1" s="293"/>
      <c r="G1" s="293"/>
      <c r="H1" s="293" t="s">
        <v>197</v>
      </c>
      <c r="I1" s="293"/>
      <c r="J1" s="293"/>
      <c r="K1" s="293"/>
      <c r="L1" s="294"/>
    </row>
    <row r="2" spans="1:12" s="74" customFormat="1" ht="26.25" customHeight="1">
      <c r="A2" s="286"/>
      <c r="B2" s="283"/>
      <c r="C2" s="283" t="s">
        <v>161</v>
      </c>
      <c r="D2" s="283" t="s">
        <v>157</v>
      </c>
      <c r="E2" s="283" t="s">
        <v>162</v>
      </c>
      <c r="F2" s="283" t="s">
        <v>163</v>
      </c>
      <c r="G2" s="283" t="s">
        <v>164</v>
      </c>
      <c r="H2" s="283" t="s">
        <v>161</v>
      </c>
      <c r="I2" s="283" t="s">
        <v>157</v>
      </c>
      <c r="J2" s="283" t="s">
        <v>162</v>
      </c>
      <c r="K2" s="283" t="s">
        <v>163</v>
      </c>
      <c r="L2" s="288" t="s">
        <v>164</v>
      </c>
    </row>
    <row r="3" spans="1:12" s="74" customFormat="1" ht="26.25" customHeight="1" thickBot="1">
      <c r="A3" s="287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9"/>
    </row>
    <row r="4" spans="1:12" s="74" customFormat="1" ht="45.75" customHeight="1">
      <c r="A4" s="290" t="s">
        <v>20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2"/>
    </row>
    <row r="5" spans="1:12" s="190" customFormat="1" ht="54.75" customHeight="1">
      <c r="A5" s="75" t="s">
        <v>20</v>
      </c>
      <c r="B5" s="189" t="s">
        <v>50</v>
      </c>
      <c r="C5" s="76">
        <f>SUM(C8:C10)</f>
        <v>7833026</v>
      </c>
      <c r="D5" s="76">
        <f aca="true" t="shared" si="0" ref="D5:L5">SUM(D8:D10)</f>
        <v>8241676</v>
      </c>
      <c r="E5" s="76">
        <f t="shared" si="0"/>
        <v>7824792</v>
      </c>
      <c r="F5" s="76">
        <f t="shared" si="0"/>
        <v>6938426</v>
      </c>
      <c r="G5" s="76">
        <f t="shared" si="0"/>
        <v>6606547</v>
      </c>
      <c r="H5" s="76">
        <f>SUM(H8:H10)</f>
        <v>681277</v>
      </c>
      <c r="I5" s="76">
        <f t="shared" si="0"/>
        <v>1053400</v>
      </c>
      <c r="J5" s="76">
        <f t="shared" si="0"/>
        <v>268000</v>
      </c>
      <c r="K5" s="76">
        <f t="shared" si="0"/>
        <v>114000</v>
      </c>
      <c r="L5" s="77">
        <f t="shared" si="0"/>
        <v>124000</v>
      </c>
    </row>
    <row r="6" spans="1:12" s="190" customFormat="1" ht="32.25" customHeight="1">
      <c r="A6" s="78" t="s">
        <v>16</v>
      </c>
      <c r="B6" s="191" t="s">
        <v>17</v>
      </c>
      <c r="C6" s="79">
        <f>C5/8856367/1.152*100</f>
        <v>76.77529325637829</v>
      </c>
      <c r="D6" s="79">
        <f>D5/C5/1.06*100</f>
        <v>99.26133320297735</v>
      </c>
      <c r="E6" s="79">
        <f>E5/D5/1.054*100</f>
        <v>90.07756830374362</v>
      </c>
      <c r="F6" s="79">
        <f>F5/E5/1.05*100</f>
        <v>84.4498455921226</v>
      </c>
      <c r="G6" s="79">
        <f>G5/F5/1.046*100</f>
        <v>91.02944264668082</v>
      </c>
      <c r="H6" s="192">
        <f>H5/574878/1.152*100</f>
        <v>102.87161532050666</v>
      </c>
      <c r="I6" s="79">
        <f>I5/H5/1.06*100</f>
        <v>145.86924039790867</v>
      </c>
      <c r="J6" s="79">
        <f>J5/I5/1.054*100</f>
        <v>24.137976999750332</v>
      </c>
      <c r="K6" s="79">
        <f>K5/J5/1.05*100</f>
        <v>40.511727078891255</v>
      </c>
      <c r="L6" s="80">
        <f>L5/K5/1.046*100</f>
        <v>103.98846063533595</v>
      </c>
    </row>
    <row r="7" spans="1:12" s="190" customFormat="1" ht="32.25" customHeight="1">
      <c r="A7" s="75" t="s">
        <v>68</v>
      </c>
      <c r="B7" s="189"/>
      <c r="C7" s="76"/>
      <c r="D7" s="76"/>
      <c r="E7" s="76"/>
      <c r="F7" s="76"/>
      <c r="G7" s="76"/>
      <c r="H7" s="192"/>
      <c r="I7" s="192"/>
      <c r="J7" s="192"/>
      <c r="K7" s="192"/>
      <c r="L7" s="193"/>
    </row>
    <row r="8" spans="1:12" s="190" customFormat="1" ht="32.25" customHeight="1">
      <c r="A8" s="211" t="s">
        <v>180</v>
      </c>
      <c r="B8" s="189" t="s">
        <v>50</v>
      </c>
      <c r="C8" s="76">
        <v>2282688</v>
      </c>
      <c r="D8" s="76">
        <v>2046723</v>
      </c>
      <c r="E8" s="76">
        <v>1968807</v>
      </c>
      <c r="F8" s="76">
        <v>1464850</v>
      </c>
      <c r="G8" s="76">
        <v>1157074</v>
      </c>
      <c r="H8" s="76">
        <v>625506</v>
      </c>
      <c r="I8" s="76">
        <v>443400</v>
      </c>
      <c r="J8" s="76">
        <v>133000</v>
      </c>
      <c r="K8" s="76">
        <v>114000</v>
      </c>
      <c r="L8" s="77">
        <v>124000</v>
      </c>
    </row>
    <row r="9" spans="1:12" s="190" customFormat="1" ht="32.25" customHeight="1">
      <c r="A9" s="211" t="s">
        <v>182</v>
      </c>
      <c r="B9" s="189" t="s">
        <v>50</v>
      </c>
      <c r="C9" s="76">
        <v>1794940</v>
      </c>
      <c r="D9" s="76">
        <v>1899271</v>
      </c>
      <c r="E9" s="76">
        <v>1855251</v>
      </c>
      <c r="F9" s="76">
        <v>1380820</v>
      </c>
      <c r="G9" s="76">
        <v>1234049</v>
      </c>
      <c r="H9" s="76"/>
      <c r="I9" s="76"/>
      <c r="J9" s="76"/>
      <c r="K9" s="76"/>
      <c r="L9" s="77"/>
    </row>
    <row r="10" spans="1:12" s="190" customFormat="1" ht="32.25" customHeight="1">
      <c r="A10" s="211" t="s">
        <v>183</v>
      </c>
      <c r="B10" s="189" t="s">
        <v>50</v>
      </c>
      <c r="C10" s="76">
        <v>3755398</v>
      </c>
      <c r="D10" s="76">
        <v>4295682</v>
      </c>
      <c r="E10" s="76">
        <v>4000734</v>
      </c>
      <c r="F10" s="76">
        <v>4092756</v>
      </c>
      <c r="G10" s="76">
        <v>4215424</v>
      </c>
      <c r="H10" s="76">
        <v>55771</v>
      </c>
      <c r="I10" s="76">
        <v>610000</v>
      </c>
      <c r="J10" s="76">
        <v>135000</v>
      </c>
      <c r="K10" s="76">
        <v>0</v>
      </c>
      <c r="L10" s="77">
        <v>0</v>
      </c>
    </row>
    <row r="11" spans="1:12" s="190" customFormat="1" ht="32.25" customHeight="1" thickBot="1">
      <c r="A11" s="212" t="s">
        <v>181</v>
      </c>
      <c r="B11" s="194" t="s">
        <v>50</v>
      </c>
      <c r="C11" s="81">
        <v>184230</v>
      </c>
      <c r="D11" s="81">
        <v>68000</v>
      </c>
      <c r="E11" s="81">
        <v>68000</v>
      </c>
      <c r="F11" s="81">
        <v>69000</v>
      </c>
      <c r="G11" s="81">
        <v>70000</v>
      </c>
      <c r="H11" s="81"/>
      <c r="I11" s="81"/>
      <c r="J11" s="81"/>
      <c r="K11" s="81"/>
      <c r="L11" s="82"/>
    </row>
    <row r="12" spans="1:13" ht="32.25" customHeight="1">
      <c r="A12" s="33"/>
      <c r="B12" s="33"/>
      <c r="C12" s="33"/>
      <c r="D12" s="33"/>
      <c r="E12" s="33"/>
      <c r="F12" s="33"/>
      <c r="G12" s="33"/>
      <c r="H12" s="71"/>
      <c r="I12" s="71"/>
      <c r="J12" s="71"/>
      <c r="K12" s="71"/>
      <c r="L12" s="71"/>
      <c r="M12" s="71"/>
    </row>
  </sheetData>
  <sheetProtection/>
  <mergeCells count="15">
    <mergeCell ref="K2:K3"/>
    <mergeCell ref="L2:L3"/>
    <mergeCell ref="A4:L4"/>
    <mergeCell ref="B1:B3"/>
    <mergeCell ref="C1:G1"/>
    <mergeCell ref="H1:L1"/>
    <mergeCell ref="C2:C3"/>
    <mergeCell ref="D2:D3"/>
    <mergeCell ref="E2:E3"/>
    <mergeCell ref="F2:F3"/>
    <mergeCell ref="H2:H3"/>
    <mergeCell ref="I2:I3"/>
    <mergeCell ref="A1:A3"/>
    <mergeCell ref="J2:J3"/>
    <mergeCell ref="G2:G3"/>
  </mergeCells>
  <printOptions/>
  <pageMargins left="0.5118110236220472" right="0.31496062992125984" top="1.220472440944882" bottom="0.7480314960629921" header="0.31496062992125984" footer="0.31496062992125984"/>
  <pageSetup firstPageNumber="184" useFirstPageNumber="1"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zoomScale="76" zoomScaleNormal="76" zoomScaleSheetLayoutView="100" zoomScalePageLayoutView="0" workbookViewId="0" topLeftCell="A1">
      <selection activeCell="L20" sqref="L20"/>
    </sheetView>
  </sheetViews>
  <sheetFormatPr defaultColWidth="9.00390625" defaultRowHeight="12.75"/>
  <cols>
    <col min="1" max="1" width="64.00390625" style="0" customWidth="1"/>
    <col min="2" max="2" width="10.00390625" style="0" bestFit="1" customWidth="1"/>
    <col min="3" max="7" width="12.00390625" style="0" customWidth="1"/>
    <col min="8" max="8" width="7.00390625" style="0" customWidth="1"/>
    <col min="9" max="9" width="9.625" style="114" customWidth="1"/>
    <col min="10" max="13" width="9.125" style="114" customWidth="1"/>
    <col min="14" max="16384" width="9.125" style="91" customWidth="1"/>
  </cols>
  <sheetData>
    <row r="1" spans="1:8" ht="23.25" customHeight="1">
      <c r="A1" s="295" t="s">
        <v>86</v>
      </c>
      <c r="B1" s="296" t="s">
        <v>87</v>
      </c>
      <c r="C1" s="90" t="s">
        <v>88</v>
      </c>
      <c r="D1" s="90" t="s">
        <v>89</v>
      </c>
      <c r="E1" s="90" t="s">
        <v>90</v>
      </c>
      <c r="F1" s="90" t="s">
        <v>91</v>
      </c>
      <c r="G1" s="90">
        <v>2019</v>
      </c>
      <c r="H1" s="141"/>
    </row>
    <row r="2" spans="1:8" ht="23.25" customHeight="1">
      <c r="A2" s="295"/>
      <c r="B2" s="296"/>
      <c r="C2" s="90" t="s">
        <v>8</v>
      </c>
      <c r="D2" s="90" t="s">
        <v>9</v>
      </c>
      <c r="E2" s="297" t="s">
        <v>11</v>
      </c>
      <c r="F2" s="298"/>
      <c r="G2" s="299"/>
      <c r="H2" s="91"/>
    </row>
    <row r="3" spans="1:8" ht="42" customHeight="1">
      <c r="A3" s="271" t="s">
        <v>30</v>
      </c>
      <c r="B3" s="271"/>
      <c r="C3" s="271"/>
      <c r="D3" s="271"/>
      <c r="E3" s="271"/>
      <c r="F3" s="271"/>
      <c r="G3" s="271"/>
      <c r="H3" s="71"/>
    </row>
    <row r="4" spans="1:13" s="167" customFormat="1" ht="19.5" customHeight="1">
      <c r="A4" s="203" t="s">
        <v>92</v>
      </c>
      <c r="B4" s="92" t="s">
        <v>41</v>
      </c>
      <c r="C4" s="93">
        <f>5280-1724</f>
        <v>3556</v>
      </c>
      <c r="D4" s="93">
        <f>C4+80</f>
        <v>3636</v>
      </c>
      <c r="E4" s="93">
        <f>D4+80</f>
        <v>3716</v>
      </c>
      <c r="F4" s="93">
        <f>E4+80</f>
        <v>3796</v>
      </c>
      <c r="G4" s="93">
        <f>F4+80</f>
        <v>3876</v>
      </c>
      <c r="H4" s="142"/>
      <c r="I4" s="204"/>
      <c r="J4" s="204"/>
      <c r="K4" s="204"/>
      <c r="L4" s="204"/>
      <c r="M4" s="204"/>
    </row>
    <row r="5" spans="1:13" s="167" customFormat="1" ht="18" customHeight="1">
      <c r="A5" s="205" t="s">
        <v>175</v>
      </c>
      <c r="B5" s="92" t="s">
        <v>41</v>
      </c>
      <c r="C5" s="53">
        <v>2295</v>
      </c>
      <c r="D5" s="53">
        <v>2321</v>
      </c>
      <c r="E5" s="53">
        <v>2353</v>
      </c>
      <c r="F5" s="53">
        <v>2390</v>
      </c>
      <c r="G5" s="53">
        <v>2427</v>
      </c>
      <c r="H5" s="143"/>
      <c r="I5" s="204"/>
      <c r="J5" s="204"/>
      <c r="K5" s="204"/>
      <c r="L5" s="204"/>
      <c r="M5" s="204"/>
    </row>
    <row r="6" spans="1:13" s="167" customFormat="1" ht="27.75" customHeight="1">
      <c r="A6" s="203" t="s">
        <v>93</v>
      </c>
      <c r="B6" s="92" t="s">
        <v>94</v>
      </c>
      <c r="C6" s="53">
        <v>17280</v>
      </c>
      <c r="D6" s="53">
        <v>17872</v>
      </c>
      <c r="E6" s="53">
        <v>17877</v>
      </c>
      <c r="F6" s="53">
        <v>17939</v>
      </c>
      <c r="G6" s="53">
        <v>18000</v>
      </c>
      <c r="H6" s="143"/>
      <c r="I6" s="143"/>
      <c r="J6" s="143"/>
      <c r="K6" s="143"/>
      <c r="L6" s="143"/>
      <c r="M6" s="143"/>
    </row>
    <row r="7" spans="1:13" s="167" customFormat="1" ht="30" customHeight="1">
      <c r="A7" s="206" t="s">
        <v>108</v>
      </c>
      <c r="B7" s="94" t="s">
        <v>95</v>
      </c>
      <c r="C7" s="207">
        <f>SUM(C10,C11,C16:C20)</f>
        <v>53006796</v>
      </c>
      <c r="D7" s="207">
        <f>SUM(D10,D11,D16:D20)</f>
        <v>58061313</v>
      </c>
      <c r="E7" s="207">
        <f>SUM(E10,E11,E16:E20)</f>
        <v>63129279.8</v>
      </c>
      <c r="F7" s="207">
        <f>SUM(F10,F11,F16:F20)</f>
        <v>68210912.6</v>
      </c>
      <c r="G7" s="207">
        <f>SUM(G10,G11,G16:G20)</f>
        <v>74066656.4</v>
      </c>
      <c r="H7" s="208"/>
      <c r="I7" s="204"/>
      <c r="J7" s="204"/>
      <c r="K7" s="204"/>
      <c r="L7" s="204"/>
      <c r="M7" s="204"/>
    </row>
    <row r="8" spans="1:13" s="167" customFormat="1" ht="15" customHeight="1">
      <c r="A8" s="95" t="s">
        <v>109</v>
      </c>
      <c r="B8" s="94" t="s">
        <v>17</v>
      </c>
      <c r="C8" s="40">
        <f>C7/52153961/1.174*100</f>
        <v>86.57174254698401</v>
      </c>
      <c r="D8" s="40">
        <f>D7/C7/1.085*100</f>
        <v>100.95447171637394</v>
      </c>
      <c r="E8" s="40">
        <f>E7/D7/1.069*100</f>
        <v>101.71061418169498</v>
      </c>
      <c r="F8" s="40">
        <f>F7/E7/1.061*100</f>
        <v>101.83747937356434</v>
      </c>
      <c r="G8" s="40">
        <f>G7/F7/1.056*100</f>
        <v>102.82647818828138</v>
      </c>
      <c r="H8" s="144"/>
      <c r="I8" s="204"/>
      <c r="J8" s="204"/>
      <c r="K8" s="204"/>
      <c r="L8" s="204"/>
      <c r="M8" s="204"/>
    </row>
    <row r="9" spans="1:13" s="167" customFormat="1" ht="15" customHeight="1">
      <c r="A9" s="95" t="s">
        <v>96</v>
      </c>
      <c r="B9" s="96"/>
      <c r="C9" s="96"/>
      <c r="D9" s="96"/>
      <c r="E9" s="96"/>
      <c r="F9" s="96"/>
      <c r="G9" s="96"/>
      <c r="H9" s="147"/>
      <c r="I9" s="204"/>
      <c r="J9" s="204"/>
      <c r="K9" s="204"/>
      <c r="L9" s="204"/>
      <c r="M9" s="204"/>
    </row>
    <row r="10" spans="1:13" s="167" customFormat="1" ht="15" customHeight="1">
      <c r="A10" s="95" t="s">
        <v>97</v>
      </c>
      <c r="B10" s="94" t="s">
        <v>95</v>
      </c>
      <c r="C10" s="97" t="s">
        <v>65</v>
      </c>
      <c r="D10" s="98" t="s">
        <v>65</v>
      </c>
      <c r="E10" s="97" t="s">
        <v>65</v>
      </c>
      <c r="F10" s="97" t="s">
        <v>65</v>
      </c>
      <c r="G10" s="97"/>
      <c r="H10" s="145"/>
      <c r="I10" s="204"/>
      <c r="J10" s="204"/>
      <c r="K10" s="204"/>
      <c r="L10" s="204"/>
      <c r="M10" s="204"/>
    </row>
    <row r="11" spans="1:13" s="167" customFormat="1" ht="15" customHeight="1">
      <c r="A11" s="95" t="s">
        <v>98</v>
      </c>
      <c r="B11" s="94" t="s">
        <v>95</v>
      </c>
      <c r="C11" s="99">
        <f>SUM(C13:C15)</f>
        <v>7005796</v>
      </c>
      <c r="D11" s="99">
        <f>SUM(D13:D15)</f>
        <v>8726732</v>
      </c>
      <c r="E11" s="99">
        <f>SUM(E13:E15)</f>
        <v>9521475</v>
      </c>
      <c r="F11" s="99">
        <f>SUM(F13:F15)</f>
        <v>10379896</v>
      </c>
      <c r="G11" s="99">
        <f>SUM(G13:G15)</f>
        <v>11270830</v>
      </c>
      <c r="H11" s="146"/>
      <c r="I11" s="204"/>
      <c r="J11" s="204"/>
      <c r="K11" s="204"/>
      <c r="L11" s="204"/>
      <c r="M11" s="204"/>
    </row>
    <row r="12" spans="1:13" s="167" customFormat="1" ht="15" customHeight="1">
      <c r="A12" s="95" t="s">
        <v>99</v>
      </c>
      <c r="B12" s="94"/>
      <c r="C12" s="100"/>
      <c r="D12" s="100"/>
      <c r="E12" s="100"/>
      <c r="F12" s="97"/>
      <c r="G12" s="97"/>
      <c r="H12" s="145"/>
      <c r="I12" s="204"/>
      <c r="J12" s="204"/>
      <c r="K12" s="204"/>
      <c r="L12" s="204"/>
      <c r="M12" s="204"/>
    </row>
    <row r="13" spans="1:13" s="167" customFormat="1" ht="15" customHeight="1">
      <c r="A13" s="95" t="s">
        <v>100</v>
      </c>
      <c r="B13" s="94" t="s">
        <v>95</v>
      </c>
      <c r="C13" s="99">
        <v>179285</v>
      </c>
      <c r="D13" s="99">
        <v>188249</v>
      </c>
      <c r="E13" s="99">
        <v>197662</v>
      </c>
      <c r="F13" s="99">
        <v>207545</v>
      </c>
      <c r="G13" s="99">
        <v>217922</v>
      </c>
      <c r="H13" s="146"/>
      <c r="I13" s="204"/>
      <c r="J13" s="204"/>
      <c r="K13" s="204"/>
      <c r="L13" s="204"/>
      <c r="M13" s="204"/>
    </row>
    <row r="14" spans="1:13" s="167" customFormat="1" ht="15" customHeight="1">
      <c r="A14" s="95" t="s">
        <v>101</v>
      </c>
      <c r="B14" s="94" t="s">
        <v>95</v>
      </c>
      <c r="C14" s="99">
        <v>6795914</v>
      </c>
      <c r="D14" s="99">
        <v>8506357</v>
      </c>
      <c r="E14" s="99">
        <v>9290282</v>
      </c>
      <c r="F14" s="99">
        <v>10137471</v>
      </c>
      <c r="G14" s="99">
        <v>11016733</v>
      </c>
      <c r="H14" s="146"/>
      <c r="I14" s="204"/>
      <c r="J14" s="204"/>
      <c r="K14" s="204"/>
      <c r="L14" s="204"/>
      <c r="M14" s="204"/>
    </row>
    <row r="15" spans="1:13" s="167" customFormat="1" ht="15" customHeight="1">
      <c r="A15" s="95" t="s">
        <v>102</v>
      </c>
      <c r="B15" s="94" t="s">
        <v>95</v>
      </c>
      <c r="C15" s="99">
        <v>30597</v>
      </c>
      <c r="D15" s="99">
        <v>32126</v>
      </c>
      <c r="E15" s="99">
        <v>33531</v>
      </c>
      <c r="F15" s="99">
        <v>34880</v>
      </c>
      <c r="G15" s="99">
        <v>36175</v>
      </c>
      <c r="H15" s="146"/>
      <c r="I15" s="204"/>
      <c r="J15" s="204"/>
      <c r="K15" s="204"/>
      <c r="L15" s="204"/>
      <c r="M15" s="204"/>
    </row>
    <row r="16" spans="1:13" s="167" customFormat="1" ht="15" customHeight="1">
      <c r="A16" s="95" t="s">
        <v>103</v>
      </c>
      <c r="B16" s="94" t="s">
        <v>95</v>
      </c>
      <c r="C16" s="99">
        <v>6440014</v>
      </c>
      <c r="D16" s="99">
        <v>6552867</v>
      </c>
      <c r="E16" s="99">
        <v>6766077</v>
      </c>
      <c r="F16" s="99">
        <v>6861713</v>
      </c>
      <c r="G16" s="99">
        <v>7132794</v>
      </c>
      <c r="H16" s="146"/>
      <c r="I16" s="204"/>
      <c r="J16" s="204"/>
      <c r="K16" s="204"/>
      <c r="L16" s="204"/>
      <c r="M16" s="204"/>
    </row>
    <row r="17" spans="1:13" s="167" customFormat="1" ht="15" customHeight="1">
      <c r="A17" s="95" t="s">
        <v>104</v>
      </c>
      <c r="B17" s="94" t="s">
        <v>95</v>
      </c>
      <c r="C17" s="99">
        <v>29885502</v>
      </c>
      <c r="D17" s="99">
        <v>32289528</v>
      </c>
      <c r="E17" s="99">
        <v>35444266</v>
      </c>
      <c r="F17" s="99">
        <v>38700425.4</v>
      </c>
      <c r="G17" s="99">
        <v>42473468</v>
      </c>
      <c r="H17" s="146"/>
      <c r="I17" s="204"/>
      <c r="J17" s="204"/>
      <c r="K17" s="204"/>
      <c r="L17" s="204"/>
      <c r="M17" s="204"/>
    </row>
    <row r="18" spans="1:13" s="167" customFormat="1" ht="15" customHeight="1">
      <c r="A18" s="95" t="s">
        <v>105</v>
      </c>
      <c r="B18" s="94" t="s">
        <v>95</v>
      </c>
      <c r="C18" s="99">
        <v>1401159</v>
      </c>
      <c r="D18" s="99">
        <v>1535727</v>
      </c>
      <c r="E18" s="99">
        <v>1673788</v>
      </c>
      <c r="F18" s="99">
        <v>1801582.4</v>
      </c>
      <c r="G18" s="99">
        <v>1937349</v>
      </c>
      <c r="H18" s="146"/>
      <c r="I18" s="204"/>
      <c r="J18" s="204"/>
      <c r="K18" s="204"/>
      <c r="L18" s="204"/>
      <c r="M18" s="204"/>
    </row>
    <row r="19" spans="1:13" s="167" customFormat="1" ht="15" customHeight="1">
      <c r="A19" s="95" t="s">
        <v>106</v>
      </c>
      <c r="B19" s="94" t="s">
        <v>95</v>
      </c>
      <c r="C19" s="99">
        <v>5966486</v>
      </c>
      <c r="D19" s="99">
        <v>6523802</v>
      </c>
      <c r="E19" s="99">
        <v>7094533.4</v>
      </c>
      <c r="F19" s="99">
        <v>7637142.4</v>
      </c>
      <c r="G19" s="99">
        <v>8215836</v>
      </c>
      <c r="H19" s="146"/>
      <c r="I19" s="204"/>
      <c r="J19" s="204"/>
      <c r="K19" s="204"/>
      <c r="L19" s="204"/>
      <c r="M19" s="204"/>
    </row>
    <row r="20" spans="1:13" s="167" customFormat="1" ht="15" customHeight="1">
      <c r="A20" s="95" t="s">
        <v>107</v>
      </c>
      <c r="B20" s="94" t="s">
        <v>95</v>
      </c>
      <c r="C20" s="99">
        <f>976463+396391+134734+162651+637600</f>
        <v>2307839</v>
      </c>
      <c r="D20" s="99">
        <f>980193+430084+146187+177358+698835</f>
        <v>2432657</v>
      </c>
      <c r="E20" s="99">
        <f>1054933+459760+159399+193388+761660.4</f>
        <v>2629140.4</v>
      </c>
      <c r="F20" s="99">
        <f>1139897+487805+173350+209288+819813.4</f>
        <v>2830153.4</v>
      </c>
      <c r="G20" s="99">
        <f>1224580+515122+188550+226534+881593.4</f>
        <v>3036379.4</v>
      </c>
      <c r="H20" s="146"/>
      <c r="I20" s="204"/>
      <c r="J20" s="204"/>
      <c r="K20" s="204"/>
      <c r="L20" s="204"/>
      <c r="M20" s="204"/>
    </row>
    <row r="21" spans="1:13" s="167" customFormat="1" ht="26.25" customHeight="1">
      <c r="A21" s="203" t="s">
        <v>110</v>
      </c>
      <c r="B21" s="92" t="s">
        <v>95</v>
      </c>
      <c r="C21" s="99">
        <v>2476416</v>
      </c>
      <c r="D21" s="99">
        <v>4253371</v>
      </c>
      <c r="E21" s="99">
        <v>3004470</v>
      </c>
      <c r="F21" s="99">
        <v>3620636</v>
      </c>
      <c r="G21" s="99">
        <v>4288308</v>
      </c>
      <c r="H21" s="146"/>
      <c r="I21" s="204"/>
      <c r="J21" s="204"/>
      <c r="K21" s="204"/>
      <c r="L21" s="204"/>
      <c r="M21" s="204"/>
    </row>
    <row r="22" spans="1:13" s="167" customFormat="1" ht="18" customHeight="1">
      <c r="A22" s="101" t="s">
        <v>111</v>
      </c>
      <c r="B22" s="92" t="s">
        <v>17</v>
      </c>
      <c r="C22" s="40">
        <f>C21/3342024/1.152*100</f>
        <v>64.32229890230192</v>
      </c>
      <c r="D22" s="40">
        <f>D21/C21/1.06*100</f>
        <v>162.03312169455359</v>
      </c>
      <c r="E22" s="40">
        <f>E21/D21/1.054*100</f>
        <v>67.01839075321543</v>
      </c>
      <c r="F22" s="40">
        <f>F21/E21/1.05*100</f>
        <v>114.76981836745787</v>
      </c>
      <c r="G22" s="40">
        <f>G21/F21/1.046*100</f>
        <v>113.23206313200748</v>
      </c>
      <c r="H22" s="144"/>
      <c r="I22" s="204"/>
      <c r="J22" s="204"/>
      <c r="K22" s="204"/>
      <c r="L22" s="204"/>
      <c r="M22" s="204"/>
    </row>
    <row r="23" spans="1:13" s="167" customFormat="1" ht="26.25" customHeight="1">
      <c r="A23" s="203" t="s">
        <v>112</v>
      </c>
      <c r="B23" s="92" t="s">
        <v>113</v>
      </c>
      <c r="C23" s="99">
        <v>5392538</v>
      </c>
      <c r="D23" s="99">
        <v>5533568</v>
      </c>
      <c r="E23" s="99">
        <v>5593213</v>
      </c>
      <c r="F23" s="99">
        <v>5681078</v>
      </c>
      <c r="G23" s="99">
        <v>5786216</v>
      </c>
      <c r="H23" s="146"/>
      <c r="I23" s="204"/>
      <c r="J23" s="204"/>
      <c r="K23" s="204"/>
      <c r="L23" s="204"/>
      <c r="M23" s="204"/>
    </row>
  </sheetData>
  <sheetProtection/>
  <mergeCells count="4">
    <mergeCell ref="A3:G3"/>
    <mergeCell ref="A1:A2"/>
    <mergeCell ref="B1:B2"/>
    <mergeCell ref="E2:G2"/>
  </mergeCells>
  <printOptions/>
  <pageMargins left="0.5905511811023623" right="0.1968503937007874" top="0.984251968503937" bottom="0.3937007874015748" header="0.5118110236220472" footer="0.11811023622047245"/>
  <pageSetup firstPageNumber="185" useFirstPageNumber="1"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zoomScale="65" zoomScaleNormal="65" zoomScaleSheetLayoutView="100" zoomScalePageLayoutView="0" workbookViewId="0" topLeftCell="A1">
      <selection activeCell="I8" sqref="I8"/>
    </sheetView>
  </sheetViews>
  <sheetFormatPr defaultColWidth="9.00390625" defaultRowHeight="12.75"/>
  <cols>
    <col min="1" max="1" width="51.625" style="33" customWidth="1"/>
    <col min="2" max="2" width="9.00390625" style="33" customWidth="1"/>
    <col min="3" max="7" width="15.875" style="33" customWidth="1"/>
    <col min="8" max="9" width="19.125" style="33" customWidth="1"/>
    <col min="10" max="16384" width="9.125" style="33" customWidth="1"/>
  </cols>
  <sheetData>
    <row r="1" spans="1:7" ht="34.5" customHeight="1">
      <c r="A1" s="267" t="s">
        <v>44</v>
      </c>
      <c r="B1" s="267" t="s">
        <v>45</v>
      </c>
      <c r="C1" s="264" t="s">
        <v>46</v>
      </c>
      <c r="D1" s="265"/>
      <c r="E1" s="265"/>
      <c r="F1" s="265"/>
      <c r="G1" s="266"/>
    </row>
    <row r="2" spans="1:7" ht="19.5" customHeight="1">
      <c r="A2" s="267"/>
      <c r="B2" s="267"/>
      <c r="C2" s="267" t="s">
        <v>156</v>
      </c>
      <c r="D2" s="267" t="s">
        <v>157</v>
      </c>
      <c r="E2" s="267" t="s">
        <v>47</v>
      </c>
      <c r="F2" s="267" t="s">
        <v>48</v>
      </c>
      <c r="G2" s="267" t="s">
        <v>158</v>
      </c>
    </row>
    <row r="3" spans="1:7" ht="19.5" customHeight="1">
      <c r="A3" s="267"/>
      <c r="B3" s="267"/>
      <c r="C3" s="267"/>
      <c r="D3" s="267"/>
      <c r="E3" s="267"/>
      <c r="F3" s="267"/>
      <c r="G3" s="267"/>
    </row>
    <row r="4" spans="1:7" ht="37.5" customHeight="1">
      <c r="A4" s="301" t="s">
        <v>176</v>
      </c>
      <c r="B4" s="302"/>
      <c r="C4" s="302"/>
      <c r="D4" s="302"/>
      <c r="E4" s="302"/>
      <c r="F4" s="302"/>
      <c r="G4" s="303"/>
    </row>
    <row r="5" spans="1:9" ht="52.5" customHeight="1">
      <c r="A5" s="54" t="s">
        <v>114</v>
      </c>
      <c r="B5" s="102" t="s">
        <v>115</v>
      </c>
      <c r="C5" s="52">
        <f>C12+53006.796</f>
        <v>119934.36600000001</v>
      </c>
      <c r="D5" s="52">
        <f>D12+58061.313</f>
        <v>123582.994</v>
      </c>
      <c r="E5" s="52">
        <f>E12+63129.28</f>
        <v>134687.00199999998</v>
      </c>
      <c r="F5" s="52">
        <f>F12+68210.913</f>
        <v>144567.91700000002</v>
      </c>
      <c r="G5" s="52">
        <f>G12+74066.656</f>
        <v>155226.349</v>
      </c>
      <c r="H5" s="148"/>
      <c r="I5" s="148"/>
    </row>
    <row r="6" spans="1:6" ht="34.5" customHeight="1">
      <c r="A6" s="45"/>
      <c r="B6" s="46"/>
      <c r="C6" s="47"/>
      <c r="D6" s="46"/>
      <c r="E6" s="300"/>
      <c r="F6" s="300"/>
    </row>
    <row r="7" spans="3:7" ht="45" customHeight="1">
      <c r="C7" s="149"/>
      <c r="D7" s="149"/>
      <c r="E7" s="149"/>
      <c r="F7" s="149"/>
      <c r="G7" s="149"/>
    </row>
    <row r="8" spans="1:7" ht="34.5" customHeight="1">
      <c r="A8" s="267" t="s">
        <v>44</v>
      </c>
      <c r="B8" s="267" t="s">
        <v>45</v>
      </c>
      <c r="C8" s="264" t="s">
        <v>63</v>
      </c>
      <c r="D8" s="265"/>
      <c r="E8" s="265"/>
      <c r="F8" s="265"/>
      <c r="G8" s="266"/>
    </row>
    <row r="9" spans="1:7" ht="23.25" customHeight="1">
      <c r="A9" s="267"/>
      <c r="B9" s="267"/>
      <c r="C9" s="267" t="s">
        <v>156</v>
      </c>
      <c r="D9" s="267" t="s">
        <v>157</v>
      </c>
      <c r="E9" s="267" t="s">
        <v>47</v>
      </c>
      <c r="F9" s="267" t="s">
        <v>48</v>
      </c>
      <c r="G9" s="267" t="s">
        <v>158</v>
      </c>
    </row>
    <row r="10" spans="1:7" ht="23.25" customHeight="1">
      <c r="A10" s="267"/>
      <c r="B10" s="267"/>
      <c r="C10" s="267"/>
      <c r="D10" s="267"/>
      <c r="E10" s="267"/>
      <c r="F10" s="267"/>
      <c r="G10" s="267"/>
    </row>
    <row r="11" spans="1:7" ht="37.5" customHeight="1">
      <c r="A11" s="301" t="s">
        <v>176</v>
      </c>
      <c r="B11" s="302"/>
      <c r="C11" s="302"/>
      <c r="D11" s="302"/>
      <c r="E11" s="302"/>
      <c r="F11" s="302"/>
      <c r="G11" s="303"/>
    </row>
    <row r="12" spans="1:7" ht="51" customHeight="1">
      <c r="A12" s="54" t="s">
        <v>114</v>
      </c>
      <c r="B12" s="102" t="s">
        <v>115</v>
      </c>
      <c r="C12" s="52">
        <v>66927.57</v>
      </c>
      <c r="D12" s="52">
        <v>65521.681</v>
      </c>
      <c r="E12" s="52">
        <v>71557.722</v>
      </c>
      <c r="F12" s="52">
        <v>76357.004</v>
      </c>
      <c r="G12" s="52">
        <v>81159.693</v>
      </c>
    </row>
    <row r="13" spans="3:7" ht="12.75">
      <c r="C13" s="41"/>
      <c r="D13" s="41"/>
      <c r="E13" s="41"/>
      <c r="F13" s="41"/>
      <c r="G13" s="41"/>
    </row>
  </sheetData>
  <sheetProtection/>
  <mergeCells count="19">
    <mergeCell ref="A11:G11"/>
    <mergeCell ref="C2:C3"/>
    <mergeCell ref="D2:D3"/>
    <mergeCell ref="E2:E3"/>
    <mergeCell ref="F2:F3"/>
    <mergeCell ref="G2:G3"/>
    <mergeCell ref="A4:G4"/>
    <mergeCell ref="A1:A3"/>
    <mergeCell ref="B1:B3"/>
    <mergeCell ref="C1:G1"/>
    <mergeCell ref="E6:F6"/>
    <mergeCell ref="A8:A10"/>
    <mergeCell ref="B8:B10"/>
    <mergeCell ref="C8:G8"/>
    <mergeCell ref="C9:C10"/>
    <mergeCell ref="D9:D10"/>
    <mergeCell ref="E9:E10"/>
    <mergeCell ref="F9:F10"/>
    <mergeCell ref="G9:G10"/>
  </mergeCells>
  <printOptions horizontalCentered="1"/>
  <pageMargins left="0.2362204724409449" right="0.2362204724409449" top="1.1811023622047245" bottom="0.2755905511811024" header="0.2755905511811024" footer="0.1968503937007874"/>
  <pageSetup firstPageNumber="186" useFirstPageNumber="1" horizontalDpi="300" verticalDpi="3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zoomScale="70" zoomScaleNormal="70" zoomScaleSheetLayoutView="100" zoomScalePageLayoutView="0" workbookViewId="0" topLeftCell="A1">
      <selection activeCell="P14" sqref="P14"/>
    </sheetView>
  </sheetViews>
  <sheetFormatPr defaultColWidth="9.00390625" defaultRowHeight="12.75"/>
  <cols>
    <col min="1" max="1" width="17.625" style="0" customWidth="1"/>
    <col min="2" max="2" width="7.75390625" style="0" customWidth="1"/>
    <col min="3" max="4" width="7.375" style="0" customWidth="1"/>
    <col min="5" max="6" width="7.875" style="0" customWidth="1"/>
    <col min="7" max="7" width="7.25390625" style="0" customWidth="1"/>
    <col min="8" max="8" width="8.25390625" style="0" customWidth="1"/>
    <col min="9" max="10" width="7.625" style="0" customWidth="1"/>
    <col min="11" max="11" width="7.25390625" style="0" customWidth="1"/>
    <col min="12" max="13" width="7.875" style="0" customWidth="1"/>
    <col min="14" max="14" width="8.00390625" style="0" customWidth="1"/>
    <col min="15" max="16" width="7.25390625" style="0" customWidth="1"/>
    <col min="17" max="17" width="7.625" style="0" customWidth="1"/>
    <col min="18" max="18" width="8.25390625" style="0" customWidth="1"/>
    <col min="19" max="19" width="7.75390625" style="0" customWidth="1"/>
    <col min="20" max="20" width="7.25390625" style="0" customWidth="1"/>
    <col min="21" max="22" width="6.25390625" style="0" customWidth="1"/>
    <col min="23" max="23" width="7.25390625" style="0" customWidth="1"/>
    <col min="24" max="26" width="6.25390625" style="0" customWidth="1"/>
  </cols>
  <sheetData>
    <row r="1" spans="1:26" ht="28.5" customHeight="1">
      <c r="A1" s="318" t="s">
        <v>86</v>
      </c>
      <c r="B1" s="304" t="s">
        <v>124</v>
      </c>
      <c r="C1" s="307" t="s">
        <v>125</v>
      </c>
      <c r="D1" s="307"/>
      <c r="E1" s="307"/>
      <c r="F1" s="307"/>
      <c r="G1" s="307"/>
      <c r="H1" s="307"/>
      <c r="I1" s="309" t="s">
        <v>126</v>
      </c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10"/>
    </row>
    <row r="2" spans="1:26" ht="42" customHeight="1">
      <c r="A2" s="319"/>
      <c r="B2" s="305"/>
      <c r="C2" s="308"/>
      <c r="D2" s="308"/>
      <c r="E2" s="308"/>
      <c r="F2" s="308"/>
      <c r="G2" s="308"/>
      <c r="H2" s="308"/>
      <c r="I2" s="311" t="s">
        <v>127</v>
      </c>
      <c r="J2" s="311"/>
      <c r="K2" s="311"/>
      <c r="L2" s="311"/>
      <c r="M2" s="311"/>
      <c r="N2" s="311"/>
      <c r="O2" s="311" t="s">
        <v>128</v>
      </c>
      <c r="P2" s="311"/>
      <c r="Q2" s="311"/>
      <c r="R2" s="311"/>
      <c r="S2" s="311"/>
      <c r="T2" s="311"/>
      <c r="U2" s="311" t="s">
        <v>167</v>
      </c>
      <c r="V2" s="311"/>
      <c r="W2" s="311"/>
      <c r="X2" s="311"/>
      <c r="Y2" s="311"/>
      <c r="Z2" s="315"/>
    </row>
    <row r="3" spans="1:26" s="71" customFormat="1" ht="30.75" customHeight="1">
      <c r="A3" s="319"/>
      <c r="B3" s="305"/>
      <c r="C3" s="150">
        <v>2014</v>
      </c>
      <c r="D3" s="150">
        <v>2015</v>
      </c>
      <c r="E3" s="150">
        <v>2016</v>
      </c>
      <c r="F3" s="316" t="s">
        <v>11</v>
      </c>
      <c r="G3" s="316"/>
      <c r="H3" s="316"/>
      <c r="I3" s="150">
        <v>2014</v>
      </c>
      <c r="J3" s="150">
        <v>2015</v>
      </c>
      <c r="K3" s="150">
        <v>2016</v>
      </c>
      <c r="L3" s="316" t="s">
        <v>11</v>
      </c>
      <c r="M3" s="316"/>
      <c r="N3" s="316"/>
      <c r="O3" s="150">
        <v>2014</v>
      </c>
      <c r="P3" s="150">
        <v>2015</v>
      </c>
      <c r="Q3" s="150">
        <v>2016</v>
      </c>
      <c r="R3" s="316" t="s">
        <v>11</v>
      </c>
      <c r="S3" s="316"/>
      <c r="T3" s="316"/>
      <c r="U3" s="150">
        <v>2014</v>
      </c>
      <c r="V3" s="150">
        <v>2015</v>
      </c>
      <c r="W3" s="150">
        <v>2016</v>
      </c>
      <c r="X3" s="316" t="s">
        <v>11</v>
      </c>
      <c r="Y3" s="316"/>
      <c r="Z3" s="317"/>
    </row>
    <row r="4" spans="1:26" s="71" customFormat="1" ht="30.75" customHeight="1" thickBot="1">
      <c r="A4" s="320"/>
      <c r="B4" s="306"/>
      <c r="C4" s="151" t="s">
        <v>8</v>
      </c>
      <c r="D4" s="151" t="s">
        <v>8</v>
      </c>
      <c r="E4" s="151" t="s">
        <v>9</v>
      </c>
      <c r="F4" s="151">
        <v>2017</v>
      </c>
      <c r="G4" s="151">
        <v>2018</v>
      </c>
      <c r="H4" s="151">
        <v>2019</v>
      </c>
      <c r="I4" s="151" t="s">
        <v>8</v>
      </c>
      <c r="J4" s="151" t="s">
        <v>8</v>
      </c>
      <c r="K4" s="151" t="s">
        <v>9</v>
      </c>
      <c r="L4" s="151">
        <v>2017</v>
      </c>
      <c r="M4" s="151">
        <v>2018</v>
      </c>
      <c r="N4" s="151">
        <v>2019</v>
      </c>
      <c r="O4" s="151" t="s">
        <v>8</v>
      </c>
      <c r="P4" s="151" t="s">
        <v>8</v>
      </c>
      <c r="Q4" s="151" t="s">
        <v>9</v>
      </c>
      <c r="R4" s="151">
        <v>2017</v>
      </c>
      <c r="S4" s="151">
        <v>2018</v>
      </c>
      <c r="T4" s="151">
        <v>2019</v>
      </c>
      <c r="U4" s="151" t="s">
        <v>8</v>
      </c>
      <c r="V4" s="151" t="s">
        <v>8</v>
      </c>
      <c r="W4" s="151" t="s">
        <v>9</v>
      </c>
      <c r="X4" s="151">
        <v>2017</v>
      </c>
      <c r="Y4" s="151">
        <v>2018</v>
      </c>
      <c r="Z4" s="152">
        <v>2019</v>
      </c>
    </row>
    <row r="5" spans="1:26" ht="33.75" customHeight="1">
      <c r="A5" s="312" t="s">
        <v>177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4"/>
    </row>
    <row r="6" spans="1:26" ht="135" customHeight="1">
      <c r="A6" s="153" t="s">
        <v>129</v>
      </c>
      <c r="B6" s="154" t="s">
        <v>15</v>
      </c>
      <c r="C6" s="155">
        <f aca="true" t="shared" si="0" ref="C6:H6">SUM(I6+O6+U6)</f>
        <v>6236.200000000001</v>
      </c>
      <c r="D6" s="155">
        <f t="shared" si="0"/>
        <v>4740.5</v>
      </c>
      <c r="E6" s="155">
        <f t="shared" si="0"/>
        <v>3923.3</v>
      </c>
      <c r="F6" s="155">
        <f t="shared" si="0"/>
        <v>4269.8</v>
      </c>
      <c r="G6" s="155">
        <f t="shared" si="0"/>
        <v>4689</v>
      </c>
      <c r="H6" s="155">
        <f t="shared" si="0"/>
        <v>5041.4</v>
      </c>
      <c r="I6" s="155">
        <v>3397.4</v>
      </c>
      <c r="J6" s="155">
        <v>2719.7</v>
      </c>
      <c r="K6" s="155">
        <v>1901.2</v>
      </c>
      <c r="L6" s="155">
        <v>2147.1</v>
      </c>
      <c r="M6" s="155">
        <v>2414.8</v>
      </c>
      <c r="N6" s="155">
        <v>2637.8</v>
      </c>
      <c r="O6" s="155">
        <v>2344.2</v>
      </c>
      <c r="P6" s="155">
        <v>1715.9</v>
      </c>
      <c r="Q6" s="155">
        <v>1860.1</v>
      </c>
      <c r="R6" s="155">
        <v>1949.2</v>
      </c>
      <c r="S6" s="155">
        <v>2097.8</v>
      </c>
      <c r="T6" s="155">
        <v>2223.6</v>
      </c>
      <c r="U6" s="155">
        <v>494.6</v>
      </c>
      <c r="V6" s="155">
        <v>304.9</v>
      </c>
      <c r="W6" s="155">
        <v>162</v>
      </c>
      <c r="X6" s="155">
        <v>173.5</v>
      </c>
      <c r="Y6" s="155">
        <v>176.4</v>
      </c>
      <c r="Z6" s="156">
        <v>180</v>
      </c>
    </row>
    <row r="7" spans="1:26" ht="27.75" customHeight="1">
      <c r="A7" s="157" t="s">
        <v>51</v>
      </c>
      <c r="B7" s="10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9"/>
    </row>
    <row r="8" spans="1:26" ht="97.5" customHeight="1" thickBot="1">
      <c r="A8" s="160" t="s">
        <v>198</v>
      </c>
      <c r="B8" s="161" t="s">
        <v>15</v>
      </c>
      <c r="C8" s="162">
        <v>1298.9</v>
      </c>
      <c r="D8" s="162">
        <v>603.5</v>
      </c>
      <c r="E8" s="162">
        <v>258.2</v>
      </c>
      <c r="F8" s="162">
        <v>372</v>
      </c>
      <c r="G8" s="162">
        <v>455.6</v>
      </c>
      <c r="H8" s="162">
        <v>512.9</v>
      </c>
      <c r="I8" s="162">
        <v>1298.9</v>
      </c>
      <c r="J8" s="162">
        <v>603.5</v>
      </c>
      <c r="K8" s="162">
        <v>258.2</v>
      </c>
      <c r="L8" s="162">
        <v>372</v>
      </c>
      <c r="M8" s="162">
        <v>454.6</v>
      </c>
      <c r="N8" s="162">
        <v>509.9</v>
      </c>
      <c r="O8" s="162"/>
      <c r="P8" s="162"/>
      <c r="Q8" s="162"/>
      <c r="R8" s="162"/>
      <c r="S8" s="244" t="s">
        <v>199</v>
      </c>
      <c r="T8" s="244" t="s">
        <v>199</v>
      </c>
      <c r="U8" s="162"/>
      <c r="V8" s="162"/>
      <c r="W8" s="162"/>
      <c r="X8" s="162"/>
      <c r="Y8" s="162"/>
      <c r="Z8" s="163"/>
    </row>
    <row r="9" spans="1:20" ht="36" customHeight="1">
      <c r="A9" s="164"/>
      <c r="B9" s="165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</row>
    <row r="10" ht="12.75" hidden="1"/>
  </sheetData>
  <sheetProtection/>
  <mergeCells count="12">
    <mergeCell ref="A5:Z5"/>
    <mergeCell ref="O2:T2"/>
    <mergeCell ref="U2:Z2"/>
    <mergeCell ref="F3:H3"/>
    <mergeCell ref="L3:N3"/>
    <mergeCell ref="R3:T3"/>
    <mergeCell ref="X3:Z3"/>
    <mergeCell ref="A1:A4"/>
    <mergeCell ref="B1:B4"/>
    <mergeCell ref="C1:H2"/>
    <mergeCell ref="I1:Z1"/>
    <mergeCell ref="I2:N2"/>
  </mergeCells>
  <printOptions/>
  <pageMargins left="0.3937007874015748" right="0.1968503937007874" top="1.3779527559055118" bottom="0.2755905511811024" header="0" footer="0"/>
  <pageSetup firstPageNumber="187" useFirstPageNumber="1" fitToHeight="1" fitToWidth="1" horizontalDpi="600" verticalDpi="600" orientation="landscape" paperSize="9" scale="7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2016-11-15T12:41:26Z</cp:lastPrinted>
  <dcterms:created xsi:type="dcterms:W3CDTF">2015-08-05T09:55:36Z</dcterms:created>
  <dcterms:modified xsi:type="dcterms:W3CDTF">2016-11-15T12:41:31Z</dcterms:modified>
  <cp:category/>
  <cp:version/>
  <cp:contentType/>
  <cp:contentStatus/>
</cp:coreProperties>
</file>