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Доходы 2021" sheetId="1" r:id="rId1"/>
    <sheet name="Расходы 2021" sheetId="2" r:id="rId2"/>
  </sheets>
  <definedNames>
    <definedName name="_Date_" localSheetId="0">'Доходы 2021'!#REF!</definedName>
    <definedName name="_Date_">#REF!</definedName>
    <definedName name="_Otchet_Period_Source__AT_ObjectName" localSheetId="0">'Доходы 2021'!#REF!</definedName>
    <definedName name="_Otchet_Period_Source__AT_ObjectName">#REF!</definedName>
    <definedName name="_Period_" localSheetId="0">'Доходы 2021'!#REF!</definedName>
    <definedName name="_Period_">#REF!</definedName>
    <definedName name="Excel_BuiltIn_Print_Area" localSheetId="1">'Расходы 2021'!$A$1:$H$989</definedName>
    <definedName name="Excel_BuiltIn_Print_Titles" localSheetId="0">'Доходы 2021'!$3:$4</definedName>
    <definedName name="Excel_BuiltIn_Print_Titles" localSheetId="1">'Расходы 2021'!$6:$6</definedName>
    <definedName name="_xlnm.Print_Titles" localSheetId="0">'Доходы 2021'!$3:$4</definedName>
    <definedName name="_xlnm.Print_Titles" localSheetId="1">'Расходы 2021'!$6:$6</definedName>
    <definedName name="_xlnm.Print_Area" localSheetId="1">'Расходы 2021'!$A$1:$H$989</definedName>
  </definedNames>
  <calcPr fullCalcOnLoad="1"/>
</workbook>
</file>

<file path=xl/sharedStrings.xml><?xml version="1.0" encoding="utf-8"?>
<sst xmlns="http://schemas.openxmlformats.org/spreadsheetml/2006/main" count="3780" uniqueCount="771">
  <si>
    <t>Прогноз доходов бюджета на 2021 год</t>
  </si>
  <si>
    <t xml:space="preserve"> Наименование показателя</t>
  </si>
  <si>
    <t>Код дохода по бюджетной классификации</t>
  </si>
  <si>
    <t xml:space="preserve">Прогноз на 2021 год </t>
  </si>
  <si>
    <t>Изменения (увеличение (+), уменьшение (-))</t>
  </si>
  <si>
    <t>Сумма на 2021 год с учетом изменений</t>
  </si>
  <si>
    <t>НАЛОГОВЫЕ И НЕНАЛОГОВЫЕ ДОХОДЫ</t>
  </si>
  <si>
    <t xml:space="preserve"> 000 1000000000 0000 000</t>
  </si>
  <si>
    <t>1.НАЛОГИ НА ПРИБЫЛЬ, ДОХОДЫ</t>
  </si>
  <si>
    <t xml:space="preserve"> 000 1010000000 0000 000</t>
  </si>
  <si>
    <t>1.1.Налог на прибыль организаций</t>
  </si>
  <si>
    <t xml:space="preserve"> 000 1010100000 0000 110</t>
  </si>
  <si>
    <t>1.2.Налог на доходы физических лиц</t>
  </si>
  <si>
    <t xml:space="preserve"> 000 1010200001 0000 110</t>
  </si>
  <si>
    <t>2.НАЛОГИ НА ТОВАРЫ (РАБОТЫ, УСЛУГИ), РЕАЛИЗУЕМЫЕ НА ТЕРРИТОРИИ РОССИЙСКОЙ ФЕДЕРАЦИИ</t>
  </si>
  <si>
    <t xml:space="preserve"> 000 1030000000 0000 000</t>
  </si>
  <si>
    <t>2.1.Акцизы по подакцизным товарам (продукции), производимым на территории Российской Федерации</t>
  </si>
  <si>
    <t xml:space="preserve"> 000 1030200001 0000 110</t>
  </si>
  <si>
    <t>3.НАЛОГИ НА СОВОКУПНЫЙ ДОХОД</t>
  </si>
  <si>
    <t xml:space="preserve"> 000 1050000000 0000 000</t>
  </si>
  <si>
    <t>3.1.Налог, взимаемый в связи с применением упрощенной системы налогообложения</t>
  </si>
  <si>
    <t xml:space="preserve"> 000 1050100000 0000 110</t>
  </si>
  <si>
    <t>3.2.Единый налог на вмененный доход для отдельных видов деятельности</t>
  </si>
  <si>
    <t xml:space="preserve"> 000 1050200002 0000 110</t>
  </si>
  <si>
    <t>3.3.Единый сельскохозяйственный налог</t>
  </si>
  <si>
    <t xml:space="preserve"> 000 1050300001 0000 110</t>
  </si>
  <si>
    <t>3.4.Налог, взимаемый в связи с применением патентной системы налогообложения</t>
  </si>
  <si>
    <t xml:space="preserve"> 000 1050400002 0000 110</t>
  </si>
  <si>
    <t>3.5.Налог на профессиональный доход</t>
  </si>
  <si>
    <t xml:space="preserve"> 000 1050600001 0000 110</t>
  </si>
  <si>
    <t>4.НАЛОГИ НА ИМУЩЕСТВО</t>
  </si>
  <si>
    <t xml:space="preserve"> 000 1060000000 0000 000</t>
  </si>
  <si>
    <t>4.1.Налог на имущество физических лиц</t>
  </si>
  <si>
    <t xml:space="preserve"> 000 1060100000 0000 110</t>
  </si>
  <si>
    <t>4.2.Налог на имущество организаций</t>
  </si>
  <si>
    <t xml:space="preserve"> 000 1060200002 0000 110</t>
  </si>
  <si>
    <t>4.3.Земельный налог</t>
  </si>
  <si>
    <t xml:space="preserve"> 000 1060600000 0000 110</t>
  </si>
  <si>
    <t>5.ГОСУДАРСТВЕННАЯ ПОШЛИНА</t>
  </si>
  <si>
    <t xml:space="preserve"> 000 1080000000 0000 000</t>
  </si>
  <si>
    <t>6.ДОХОДЫ ОТ ИСПОЛЬЗОВАНИЯ ИМУЩЕСТВА, НАХОДЯЩЕГОСЯ В ГОСУДАРСТВЕННОЙ И МУНИЦИПАЛЬНОЙ СОБСТВЕННОСТИ</t>
  </si>
  <si>
    <t xml:space="preserve"> 000 1110000000 0000 000</t>
  </si>
  <si>
    <t>6.1.Доходы,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</si>
  <si>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</si>
  <si>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6.1.1.Доходы,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</si>
  <si>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</si>
  <si>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6.1.2.Доходы,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</si>
  <si>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</si>
  <si>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6.1.3.Доходы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</si>
  <si>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</si>
  <si>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6.2.Платежи от государственных и муниципальных унитарных предприятий</t>
  </si>
  <si>
    <t xml:space="preserve"> 000 1110700000 0000 120</t>
  </si>
  <si>
    <t>6.3.Прочие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</si>
  <si>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</si>
  <si>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7.ПЛАТЕЖИ ПРИ ПОЛЬЗОВАНИИ ПРИРОДНЫМИ РЕСУРСАМИ</t>
  </si>
  <si>
    <t xml:space="preserve"> 000 1120000000 0000 000</t>
  </si>
  <si>
    <t>7.1.Плата за негативное воздействие на окружающую среду</t>
  </si>
  <si>
    <t xml:space="preserve"> 000 1120100001 0000 120</t>
  </si>
  <si>
    <t>8.ДОХОДЫ ОТ ОКАЗАНИЯ ПЛАТНЫХ УСЛУГ (РАБОТ) И КОМПЕНСАЦИИ ЗАТРАТ ГОСУДАРСТВА</t>
  </si>
  <si>
    <t xml:space="preserve"> 000 1130000000 0000 000</t>
  </si>
  <si>
    <t>8.1.Доходы от оказания платных услуг (работ)</t>
  </si>
  <si>
    <t xml:space="preserve"> 000 1130100000 0000 130</t>
  </si>
  <si>
    <t>8.2.Доходы от компенсации затрат государства</t>
  </si>
  <si>
    <t xml:space="preserve"> 000 1130200000 0000 130</t>
  </si>
  <si>
    <t>9.ДОХОДЫ ОТ ПРОДАЖИ МАТЕРИАЛЬНЫХ И НЕМАТЕРИАЛЬНЫХ АКТИВОВ</t>
  </si>
  <si>
    <t xml:space="preserve"> 000 1140000000 0000 000</t>
  </si>
  <si>
    <t>9.1.Доходы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</si>
  <si>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</si>
  <si>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9.2.Доходы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</si>
  <si>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</si>
  <si>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10.ШТРАФЫ, САНКЦИИ, ВОЗМЕЩЕНИЕ УЩЕРБА</t>
  </si>
  <si>
    <t xml:space="preserve"> 000 1160000000 0000 000</t>
  </si>
  <si>
    <t>11.ПРОЧИЕ НЕНАЛОГОВЫЕ ДОХОДЫ</t>
  </si>
  <si>
    <t xml:space="preserve"> 000 1170000000 0000 000</t>
  </si>
  <si>
    <t>БЕЗВОЗМЕЗДНЫЕ ПОСТУПЛЕНИЯ</t>
  </si>
  <si>
    <t xml:space="preserve"> 000 2000000000 0000 000</t>
  </si>
  <si>
    <t>12.БЕЗВОЗМЕЗДНЫЕ ПОСТУПЛЕНИЯ ОТ ДРУГИХ БЮДЖЕТОВ БЮДЖЕТНОЙ СИСТЕМЫ РОССИЙСКОЙ ФЕДЕРАЦИИ</t>
  </si>
  <si>
    <t xml:space="preserve"> 000 2020000000 0000 000</t>
  </si>
  <si>
    <t>12.4. Дотации бюджетам городских округов на поддержку мер по обеспечению сбалансированности бюджетов</t>
  </si>
  <si>
    <t>000 2021500204 0000 151</t>
  </si>
  <si>
    <t>12.1.Субсидии бюджетам бюджетной системы Российской Федерации (межбюджетные субсидии)</t>
  </si>
  <si>
    <t xml:space="preserve"> 000 2022000000 0000 151</t>
  </si>
  <si>
    <t>12.2.Субвенции бюджетам бюджетной системы Российской Федерации</t>
  </si>
  <si>
    <t xml:space="preserve"> 000 2023000000 0000 151</t>
  </si>
  <si>
    <t>12.3.Иные межбюджетные трансферты</t>
  </si>
  <si>
    <t xml:space="preserve"> 000 2024000000 0000 151</t>
  </si>
  <si>
    <t>13.ПРОЧИЕ БЕЗВОЗМЕЗДНЫЕ ПОСТУПЛЕНИЯ</t>
  </si>
  <si>
    <t xml:space="preserve"> 000 2070000000 0000 000</t>
  </si>
  <si>
    <t>14.ДОХОДЫ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</si>
  <si>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</si>
  <si>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15.ВОЗВРАТ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</si>
  <si>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</si>
  <si>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ВСЕГО ДОХОДОВ</t>
  </si>
  <si>
    <t>х</t>
  </si>
  <si>
    <t>Приложение № 5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</si>
  <si>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Ведомственная структура расходов бюджета города Обнинска на 2021 год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</si>
  <si>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</si>
  <si>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</si>
  <si>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</si>
  <si>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</si>
  <si>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</si>
  <si>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</si>
  <si>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 xml:space="preserve">Утверждено на 2021 год 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</si>
  <si>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</si>
  <si>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</si>
  <si>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</si>
  <si>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</si>
  <si>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</si>
  <si>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</si>
  <si>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</si>
  <si>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</si>
  <si>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</si>
  <si>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</si>
  <si>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</si>
  <si>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</si>
  <si>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</si>
  <si>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</si>
  <si>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</si>
  <si>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</si>
  <si>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Формирование и содержание областных архивных фондов</t>
  </si>
  <si>
    <t>70 1 00 00800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</si>
  <si>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</si>
  <si>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</si>
  <si>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</si>
  <si>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</si>
  <si>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</si>
  <si>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</si>
  <si>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</si>
  <si>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</si>
  <si>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Иные бюджетные ассигнования</t>
  </si>
  <si>
    <t>800</t>
  </si>
  <si>
    <t>Уплата налогов, сборов и иных платежей</t>
  </si>
  <si>
    <t>850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</si>
  <si>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</si>
  <si>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</si>
  <si>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</si>
  <si>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</si>
  <si>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</si>
  <si>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</si>
  <si>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</si>
  <si>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</si>
  <si>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</si>
  <si>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</si>
  <si>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</si>
  <si>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Проведение выборов в представительные органы муниципального образования</t>
  </si>
  <si>
    <t>70 3 00 13012</t>
  </si>
  <si>
    <t>Специальные расходы</t>
  </si>
  <si>
    <t>880</t>
  </si>
  <si>
    <t xml:space="preserve"> 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</si>
  <si>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</si>
  <si>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</si>
  <si>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</si>
  <si>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</si>
  <si>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</si>
  <si>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Муниципальная программа "Благоустройство города Обнинска"</t>
  </si>
  <si>
    <t>09 0 00 00000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</si>
  <si>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</si>
  <si>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</si>
  <si>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</si>
  <si>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</si>
  <si>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</si>
  <si>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</si>
  <si>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09 5 02 10000</t>
  </si>
  <si>
    <t>Муниципальная программа "Развитие и модернизация объектов инженерной инфраструктуры города Обнинска"</t>
  </si>
  <si>
    <t>10 0 00 00000</t>
  </si>
  <si>
    <t>Осуществление функций МБУ "Управляющая компания систем коммунальной инфраструктуры"</t>
  </si>
  <si>
    <t>10 0 16 10000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</si>
  <si>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</si>
  <si>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</si>
  <si>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</si>
  <si>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</si>
  <si>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</si>
  <si>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</si>
  <si>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</si>
  <si>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</si>
  <si>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</si>
  <si>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</si>
  <si>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</si>
  <si>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</si>
  <si>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</si>
  <si>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</si>
  <si>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</si>
  <si>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</si>
  <si>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</si>
  <si>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</si>
  <si>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</si>
  <si>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работ)</t>
  </si>
  <si>
    <t>13 1 01 L5110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</si>
  <si>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</si>
  <si>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</si>
  <si>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</si>
  <si>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</si>
  <si>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</si>
  <si>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</si>
  <si>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</si>
  <si>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</si>
  <si>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</si>
  <si>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</si>
  <si>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</si>
  <si>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</si>
  <si>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</si>
  <si>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</si>
  <si>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</si>
  <si>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</si>
  <si>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</si>
  <si>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</si>
  <si>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Выплаты медицинским работникам, лечащим пациентов с диагнозом новой коронавирусной инфекции COVID-19</t>
  </si>
  <si>
    <t>70 4 00 00153</t>
  </si>
  <si>
    <t>Единовременные выплаты за особые условия труда и дополнительную нагрузку медицинским работникам, а также водителям скорой медицинской помощи, заболевшим при исполнении должностных обязанностей новой коронавирусной инфекцией COVID-19</t>
  </si>
  <si>
    <t>70 4 00 00154</t>
  </si>
  <si>
    <t>Осуществление государственных полномочий по проведению Всероссийской переписи населения 2020 года</t>
  </si>
  <si>
    <t>70 4 00 54690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</si>
  <si>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</si>
  <si>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</si>
  <si>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Прочие непрограммные направления расходов</t>
  </si>
  <si>
    <t>70 9 00 00000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</si>
  <si>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</si>
  <si>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</si>
  <si>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</si>
  <si>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</si>
  <si>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Расходы, связанные с организацией и проведением сельскохозяйственных ярмарок выходного дня в городе Обнинске</t>
  </si>
  <si>
    <t>70 9 00 19007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</si>
  <si>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</si>
  <si>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</si>
  <si>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</si>
  <si>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</si>
  <si>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</t>
  </si>
  <si>
    <t>70 1 00 59340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</si>
  <si>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</si>
  <si>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</si>
  <si>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</si>
  <si>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</si>
  <si>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</si>
  <si>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</si>
  <si>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</si>
  <si>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</si>
  <si>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</si>
  <si>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 xml:space="preserve"> Национальная экономика</t>
  </si>
  <si>
    <t>0400</t>
  </si>
  <si>
    <t xml:space="preserve"> Транспорт</t>
  </si>
  <si>
    <t>0408</t>
  </si>
  <si>
    <t>Проведение отдельных мероприятий по транспорту</t>
  </si>
  <si>
    <t>70 3 00 13006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</si>
  <si>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</si>
  <si>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Увеличение уставного фонда муниципального предприятия города Обнинска Калужской области "Обнинское пассажирское автотранспортное предприятие"</t>
  </si>
  <si>
    <t>70 3 00 13011</t>
  </si>
  <si>
    <t>Дорожное хозяйство (дорожные фонды)</t>
  </si>
  <si>
    <t>0409</t>
  </si>
  <si>
    <t>Муниципальная программа "Социальная поддержка населения города Обнинска"</t>
  </si>
  <si>
    <t>05 0 00 00000</t>
  </si>
  <si>
    <t>Подпрограмма "Доступная среда в городе Обнинске"</t>
  </si>
  <si>
    <t>05 2 00 00000</t>
  </si>
  <si>
    <t>Устройство съездов с пешеходных тротуаров для маломобильных групп населения</t>
  </si>
  <si>
    <t>05 2 02 10000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</si>
  <si>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</si>
  <si>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</si>
  <si>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</si>
  <si>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</si>
  <si>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</si>
  <si>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</si>
  <si>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</si>
  <si>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</si>
  <si>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</si>
  <si>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</si>
  <si>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</si>
  <si>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</si>
  <si>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Техническое оснащение улично-дорожной сети города с целью обеспечения безопасности дорожного движения (за счет средств субсидии на осуществление дорожной деятельности)</t>
  </si>
  <si>
    <t>06 0 05 S5000</t>
  </si>
  <si>
    <t>Строительство и реконструкция автомобильных дорог и искусственных сооружений на них</t>
  </si>
  <si>
    <t>06 0 07 10000</t>
  </si>
  <si>
    <t>Капитальные вложения в объекты государственной (муниципальной) собственности</t>
  </si>
  <si>
    <t>Бюджетные инвестиции</t>
  </si>
  <si>
    <t>Реконструкция участка автомобильной дороги ул. Красных Зорь на участке от ООО "Марк-4" до ул. Северная</t>
  </si>
  <si>
    <t>06 0 12 L5250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</si>
  <si>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</si>
  <si>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 0 F1 50211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</si>
  <si>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(в рамках реализации федерального проекта "Жилье" национального проекта "Жилье и городская среда")</t>
  </si>
  <si>
    <t>06 0 F1 50219</t>
  </si>
  <si>
    <t>Выполнение комплекса работ по ремонту автомобильных дорог (в рамках реализации федерального проекта "Региональная и местная дорожная сеть" национального проекта "Безопасные и качественные автомобильные дороги")</t>
  </si>
  <si>
    <t>06 0 R1 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</si>
  <si>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</si>
  <si>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</si>
  <si>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>Связь и информатика</t>
  </si>
  <si>
    <t>0410</t>
  </si>
  <si>
    <t xml:space="preserve">Проведение работ по построению сегментов высокоскоростной корпоративной информационно-коммуникационной сети </t>
  </si>
  <si>
    <t>70 4 00 S6540</t>
  </si>
  <si>
    <t xml:space="preserve"> Другие вопросы в области национальной экономики</t>
  </si>
  <si>
    <t>0412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</si>
  <si>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</si>
  <si>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</si>
  <si>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</si>
  <si>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</si>
  <si>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</si>
  <si>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</si>
  <si>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</si>
  <si>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S6840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</si>
  <si>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</si>
  <si>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12 1 03 S6840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</si>
  <si>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</si>
  <si>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</si>
  <si>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</si>
  <si>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</si>
  <si>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</si>
  <si>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</si>
  <si>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</si>
  <si>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</si>
  <si>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</si>
  <si>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</si>
  <si>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</si>
  <si>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</si>
  <si>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внесению изменений в документы территориального планирования и градостроительного зонирования)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</si>
  <si>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</si>
  <si>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</si>
  <si>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</si>
  <si>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</si>
  <si>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</si>
  <si>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</si>
  <si>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</si>
  <si>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Жилищно-коммунальное хозяйство</t>
  </si>
  <si>
    <t>0500</t>
  </si>
  <si>
    <t xml:space="preserve"> Жилищное хозяйство</t>
  </si>
  <si>
    <t>0501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</si>
  <si>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</si>
  <si>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</si>
  <si>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</si>
  <si>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Ремонт и содержание муниципального жилья</t>
  </si>
  <si>
    <t>07 0 01 10000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</si>
  <si>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</si>
  <si>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</si>
  <si>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</si>
  <si>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</si>
  <si>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</si>
  <si>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</si>
  <si>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</si>
  <si>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</si>
  <si>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</si>
  <si>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</si>
  <si>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Повышение энергоэффективности малоэтажных домов</t>
  </si>
  <si>
    <t>08 0 04 10000</t>
  </si>
  <si>
    <t>Выполнение работ по сносу многоквартирного жилого дома, расположенного по адресу: г.Обнинск, ул.Менделеева, д.8/4</t>
  </si>
  <si>
    <t>70 3 00 13010</t>
  </si>
  <si>
    <t>Коммунальное хозяйство</t>
  </si>
  <si>
    <t>0502</t>
  </si>
  <si>
    <t>Ремонт ветхих участков водопроводных сетей</t>
  </si>
  <si>
    <t>08 0 02 10000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</si>
  <si>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</si>
  <si>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</si>
  <si>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</si>
  <si>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</si>
  <si>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</si>
  <si>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«Развитие и модернизация объектов инженерной инфраструктуры города Обнинска»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</si>
  <si>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</si>
  <si>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10 0 05 10000</t>
  </si>
  <si>
    <t>Строительство очистных сооружений ливневых стоков в районе промзоны Мишково</t>
  </si>
  <si>
    <t>10 0 06 10000</t>
  </si>
  <si>
    <t>Строительство канализационно-насосной станции с двумя напорными коллекторами в районе ул. Пирогова</t>
  </si>
  <si>
    <t>10 0 08 10000</t>
  </si>
  <si>
    <t>Выполнение мероприятий в связи с выводом из эксплуатации ТЭЦ ФЭИ и реконструкция тепловых сетей</t>
  </si>
  <si>
    <t>10 0 10 10000</t>
  </si>
  <si>
    <t>Реализация проекта "Трасса Северного водовода от Вашутинского водозабора до города Обнинска, пр-т Маркса, ВК 874"</t>
  </si>
  <si>
    <t>10 0 11 10000</t>
  </si>
  <si>
    <t>Проектирование и строительство очистных сооружений ливневых вод для детских садов по ул. Пирогова д.12 и д.14</t>
  </si>
  <si>
    <t>10 0 12 10000</t>
  </si>
  <si>
    <t>Реконструкция "старой" линии очистных сооружений канализации города, включая технологический и ценовой аудит (за счет субсидии на 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жилья)</t>
  </si>
  <si>
    <t>10 0 13 S9030</t>
  </si>
  <si>
    <t>Проектирование и строительство станций очистки воды для скважин Вашутинского водозабора</t>
  </si>
  <si>
    <t>10 0 14 10000</t>
  </si>
  <si>
    <t>Строительство городского магистрального напорного хозфекального коллектора и КНС-51 (в рамках реализации федерального проекта "Жилье" национального проекта "Жилье и городская среда")</t>
  </si>
  <si>
    <t>10 0 F1 50215</t>
  </si>
  <si>
    <t>Разработка проектной документации и строительство канализационно-насосной станции с двумя напорными коллекторами в районе ул. Пирогова (в рамках реализации федерального проекта "Жилье" национального проекта "Жилье и городская среда")</t>
  </si>
  <si>
    <t>10 0 F1 50218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</si>
  <si>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</si>
  <si>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</si>
  <si>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Выполнение работ по подключению жилых домов № 2, 7, 9а по ул.Пирогова к централизованной системе водоснабжения МП «Водоканал»</t>
  </si>
  <si>
    <t>70 3 00 13014</t>
  </si>
  <si>
    <t>Благоустройство</t>
  </si>
  <si>
    <t>0503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</si>
  <si>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</si>
  <si>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</si>
  <si>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</si>
  <si>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</si>
  <si>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благоустройству территории  города Обнинска (за счет субсидии на реализацию мероприятий по созданию и содержанию мест (площадок) накопления твердых коммунальных отходов)</t>
  </si>
  <si>
    <t>09 1 01 S2122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</si>
  <si>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</si>
  <si>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</si>
  <si>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</si>
  <si>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</si>
  <si>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</si>
  <si>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</si>
  <si>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</si>
  <si>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</si>
  <si>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</si>
  <si>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</si>
  <si>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</si>
  <si>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</si>
  <si>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</si>
  <si>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</si>
  <si>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</si>
  <si>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</si>
  <si>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09 4 02 10000</t>
  </si>
  <si>
    <t>Благоустройство территорий кладбищ и содержание мест захоронений</t>
  </si>
  <si>
    <t>09 5 03 10000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</si>
  <si>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</si>
  <si>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</si>
  <si>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</si>
  <si>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</si>
  <si>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</si>
  <si>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15 0 02 10000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</si>
  <si>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</si>
  <si>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</si>
  <si>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</si>
  <si>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</si>
  <si>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</si>
  <si>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85552</t>
  </si>
  <si>
    <t>Увеличение уставного фонда муниципального предприятия города Обнинска Калужской области "Коммунальное хозяйство"</t>
  </si>
  <si>
    <t>70 3 00 13013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</si>
  <si>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</si>
  <si>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</si>
  <si>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</si>
  <si>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</si>
  <si>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</t>
  </si>
  <si>
    <t>10 0 01 10000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</si>
  <si>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</si>
  <si>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</si>
  <si>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</si>
  <si>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</si>
  <si>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</si>
  <si>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</si>
  <si>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</si>
  <si>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</si>
  <si>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</si>
  <si>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</si>
  <si>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</si>
  <si>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52320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</si>
  <si>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</si>
  <si>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01 1 P2 52321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</si>
  <si>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</si>
  <si>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</si>
  <si>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</si>
  <si>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</si>
  <si>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</si>
  <si>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</si>
  <si>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 xml:space="preserve">Предоставление банных услуг отдельным категориям граждан </t>
  </si>
  <si>
    <t>05 1 20 10000</t>
  </si>
  <si>
    <t>Физическая культура и спорт</t>
  </si>
  <si>
    <t>1100</t>
  </si>
  <si>
    <t>Физическая культура</t>
  </si>
  <si>
    <t>1101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</si>
  <si>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</si>
  <si>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</si>
  <si>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</si>
  <si>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</si>
  <si>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</si>
  <si>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</si>
  <si>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Проведение ремонтных работ на спортивном объекте: муниципальное бюджетное учреждение "Спортивная школа олимпийского резерва по волейболу Александра Савина" города Обнинска по ул. Цветкова, 4 и 4а за счет средств областного бюджета</t>
  </si>
  <si>
    <t>04 0 05 00150</t>
  </si>
  <si>
    <t>Обеспечение деятельности муниципальных учреждений, реализующих программы спортивной подготовки</t>
  </si>
  <si>
    <t>04 0 05 10000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</si>
  <si>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(в рамках федерального проекта "Спорт - норма жизни" национального проекта "Демография")</t>
  </si>
  <si>
    <t>04 0 P5 50810</t>
  </si>
  <si>
    <t>Муниципальная программа «Социальная поддержка населения города Обнинска»</t>
  </si>
  <si>
    <t>Мероприятия по формированию условий для развития комплексной реабилитации и абилитации инвалидов,в том числе детей-инвалидов</t>
  </si>
  <si>
    <t>05 2 08 L5140</t>
  </si>
  <si>
    <t>Спорт высших достижений</t>
  </si>
  <si>
    <t>1103</t>
  </si>
  <si>
    <t xml:space="preserve">Осуществление спортивной деятельности по классическому и пляжному волейболу </t>
  </si>
  <si>
    <t>04 0 03 10000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</si>
  <si>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</si>
  <si>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</si>
  <si>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</si>
  <si>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</si>
  <si>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</si>
  <si>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</si>
  <si>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Периодическая печать и издательства</t>
  </si>
  <si>
    <t>1202</t>
  </si>
  <si>
    <t>Обслуживание государственного и 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</si>
  <si>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</si>
  <si>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</si>
  <si>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</si>
  <si>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Реализация прочих непрограммных направлений деятельности в сфере установленных функций органов местного самоуправления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</si>
  <si>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</si>
  <si>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</si>
  <si>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</si>
  <si>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</si>
  <si>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</si>
  <si>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</si>
  <si>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</si>
  <si>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</si>
  <si>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</si>
  <si>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</si>
  <si>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</si>
  <si>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</si>
  <si>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</si>
  <si>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</si>
  <si>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Комитет по материально-техническому обеспечению Администрации города Обнинска</t>
  </si>
  <si>
    <t>441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</si>
  <si>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</si>
  <si>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</si>
  <si>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</si>
  <si>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</si>
  <si>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</si>
  <si>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</si>
  <si>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Управления финансов Администрации города Обнинска</t>
  </si>
  <si>
    <t>70 1 00 11004</t>
  </si>
  <si>
    <t>Резервные фонды</t>
  </si>
  <si>
    <t>0111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</si>
  <si>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</si>
  <si>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</si>
  <si>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</si>
  <si>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</si>
  <si>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</si>
  <si>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</si>
  <si>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</si>
  <si>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 xml:space="preserve">Управление культуры и молодежной политики Администрации города  Обнинска </t>
  </si>
  <si>
    <t>840</t>
  </si>
  <si>
    <t>Дополнительное образование детей</t>
  </si>
  <si>
    <t>0703</t>
  </si>
  <si>
    <t>Муниципальная программа "Развитие культуры города Обнинска"</t>
  </si>
  <si>
    <t>02 0 00 00000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</si>
  <si>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</si>
  <si>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</si>
  <si>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</si>
  <si>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</si>
  <si>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</si>
  <si>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</si>
  <si>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 (мероприятия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искусств)</t>
  </si>
  <si>
    <t>02 4 A1 55194</t>
  </si>
  <si>
    <t xml:space="preserve">Молодежная политика </t>
  </si>
  <si>
    <t>0707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</si>
  <si>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</si>
  <si>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</si>
  <si>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</si>
  <si>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</si>
  <si>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</si>
  <si>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</si>
  <si>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Проведение мероприятий антинаркотической направленности </t>
  </si>
  <si>
    <t>11 2 04 10000</t>
  </si>
  <si>
    <t>Культура, кинематография</t>
  </si>
  <si>
    <t>0800</t>
  </si>
  <si>
    <t>Культура</t>
  </si>
  <si>
    <t>0801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</si>
  <si>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</si>
  <si>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</si>
  <si>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</si>
  <si>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</si>
  <si>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</si>
  <si>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</si>
  <si>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</si>
  <si>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</si>
  <si>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</si>
  <si>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</si>
  <si>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</si>
  <si>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</si>
  <si>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</si>
  <si>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</si>
  <si>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</si>
  <si>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</si>
  <si>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</si>
  <si>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</si>
  <si>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</si>
  <si>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</si>
  <si>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</si>
  <si>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</si>
  <si>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</si>
  <si>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</si>
  <si>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</si>
  <si>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</si>
  <si>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</si>
  <si>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</si>
  <si>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>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(для размещения учреждения культуры)</t>
  </si>
  <si>
    <t>02 3 04 10000</t>
  </si>
  <si>
    <t>Организация работы клубных формирований для пожилых граждан и инвалидов</t>
  </si>
  <si>
    <t>05 2 06 10000</t>
  </si>
  <si>
    <t>Кинематография</t>
  </si>
  <si>
    <t>0802</t>
  </si>
  <si>
    <t>Организация киновидеопоказа и досуговых мероприятий</t>
  </si>
  <si>
    <t>02 1 04 10000</t>
  </si>
  <si>
    <t>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</si>
  <si>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</si>
  <si>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</si>
  <si>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</si>
  <si>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</si>
  <si>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</si>
  <si>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</si>
  <si>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</si>
  <si>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Управление социальной защиты населения Администрации города Обнинска</t>
  </si>
  <si>
    <t>847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</si>
  <si>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</si>
  <si>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</si>
  <si>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</si>
  <si>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</si>
  <si>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600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</si>
  <si>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</si>
  <si>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</si>
  <si>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</si>
  <si>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</si>
  <si>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</si>
  <si>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</si>
  <si>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</si>
  <si>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</si>
  <si>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</si>
  <si>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</si>
  <si>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</si>
  <si>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>Публичные нормативные социальные выплаты гражданам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</si>
  <si>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</si>
  <si>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</si>
  <si>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</si>
  <si>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</si>
  <si>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Социальное обеспечение населения</t>
  </si>
  <si>
    <t>1003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</si>
  <si>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</si>
  <si>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</si>
  <si>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</si>
  <si>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</si>
  <si>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</si>
  <si>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</si>
  <si>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</si>
  <si>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</si>
  <si>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</si>
  <si>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</si>
  <si>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</si>
  <si>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</si>
  <si>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</si>
  <si>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</si>
  <si>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</si>
  <si>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</si>
  <si>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</si>
  <si>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</si>
  <si>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</si>
  <si>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</si>
  <si>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</si>
  <si>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</si>
  <si>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</si>
  <si>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</si>
  <si>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</si>
  <si>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</si>
  <si>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</si>
  <si>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</si>
  <si>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</si>
  <si>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</si>
  <si>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</si>
  <si>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</si>
  <si>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</si>
  <si>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</si>
  <si>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Охрана семьи и детства</t>
  </si>
  <si>
    <t>1004</t>
  </si>
  <si>
    <t>Обеспечение социальных выплат, пособий, компенсаций детям и семьям с детьми</t>
  </si>
  <si>
    <t>05 1 04 03300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</si>
  <si>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</si>
  <si>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</si>
  <si>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</si>
  <si>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</si>
  <si>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Осуществление ежемесячных выплат на детей в возрасте от трех до семи лет включительно</t>
  </si>
  <si>
    <t>05 1 24 R3020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</si>
  <si>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</si>
  <si>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</si>
  <si>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</si>
  <si>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</si>
  <si>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</si>
  <si>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</si>
  <si>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за счет средств областного бюджета</t>
  </si>
  <si>
    <t>05 1 P1 Д0840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</si>
  <si>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</si>
  <si>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</si>
  <si>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</si>
  <si>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</si>
  <si>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Выплаты компенсации педагогическим работникам МБДОУ за наем (поднаем) жилых помещений</t>
  </si>
  <si>
    <t>01 1 05 10000</t>
  </si>
  <si>
    <t>Подпрограмма "Развитие системы общего образования города Обнинска"</t>
  </si>
  <si>
    <t>01 2 00 00000</t>
  </si>
  <si>
    <t>Выплаты компенсации педагогическим работникам МБОУ за наем (поднаем) жилых помещений</t>
  </si>
  <si>
    <t>01 2 05 10000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</si>
  <si>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</si>
  <si>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</si>
  <si>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</si>
  <si>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</si>
  <si>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Оказание государственной социальной помощи на основании социального контракта отдельным категориям граждан</t>
  </si>
  <si>
    <t>05 1 25 R4040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</si>
  <si>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</si>
  <si>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</si>
  <si>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</si>
  <si>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</si>
  <si>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</si>
  <si>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</si>
  <si>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Дополнительные выплаты за поднаем жилья работникам федеральных государственных учреждений здравоохранения</t>
  </si>
  <si>
    <t>Управление общего образования Администрации города Обнинска</t>
  </si>
  <si>
    <t>849</t>
  </si>
  <si>
    <t xml:space="preserve"> Образование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</si>
  <si>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</si>
  <si>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</si>
  <si>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</si>
  <si>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</si>
  <si>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</si>
  <si>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</si>
  <si>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</si>
  <si>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</si>
  <si>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Установка и модернизация систем видеонаблюдения в муниципальных образовательных учреждениях</t>
  </si>
  <si>
    <t>11 2 01 10000</t>
  </si>
  <si>
    <t xml:space="preserve">Общее образование </t>
  </si>
  <si>
    <t>0702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</si>
  <si>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</si>
  <si>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</si>
  <si>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</si>
  <si>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</si>
  <si>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</si>
  <si>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</si>
  <si>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</si>
  <si>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</si>
  <si>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Укрепление материально-технической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</t>
  </si>
  <si>
    <t>01 2 04 16101</t>
  </si>
  <si>
    <t>Укрепление материально-технической базы общеобразовательных учреждений (за счет средств субсидии на ремонт зданий (помещений) в общеобразовательных организациях)</t>
  </si>
  <si>
    <t>01 2 04 S6112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</si>
  <si>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</si>
  <si>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01 2 09 53030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</si>
  <si>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</si>
  <si>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</si>
  <si>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</si>
  <si>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</si>
  <si>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</si>
  <si>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</si>
  <si>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</si>
  <si>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</si>
  <si>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</si>
  <si>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</si>
  <si>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Укрепление материально-технической базы учреждений дополнительного образования</t>
  </si>
  <si>
    <t>01 5 04 10000</t>
  </si>
  <si>
    <t xml:space="preserve"> Молодежная политика 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</si>
  <si>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</si>
  <si>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</si>
  <si>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</si>
  <si>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</si>
  <si>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</si>
  <si>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</si>
  <si>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</si>
  <si>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</si>
  <si>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</si>
  <si>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</si>
  <si>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</si>
  <si>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</si>
  <si>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</si>
  <si>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</si>
  <si>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</si>
  <si>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</si>
  <si>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</si>
  <si>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</si>
  <si>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Ведение бухгалтерского, налогового и статистического учета в обслуживаемых учреждениях</t>
  </si>
  <si>
    <t>01 7 02 10000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</si>
  <si>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</si>
  <si>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</si>
  <si>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</si>
  <si>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</si>
  <si>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</si>
  <si>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Муниципальная программа «Развитие системы образования города Обнинска»</t>
  </si>
  <si>
    <t>Выплата компенсации  части родительской платы</t>
  </si>
  <si>
    <t>01 7 05 16030</t>
  </si>
  <si>
    <t>Контрольно-счетная палата муниципального образования "Город Обнинск"</t>
  </si>
  <si>
    <t>851</t>
  </si>
  <si>
    <t xml:space="preserve"> Общегосударственные вопросы</t>
  </si>
  <si>
    <t>Обеспечение деятельности Контрольно-счетной палаты муниципального образования "Город Обнинск"</t>
  </si>
  <si>
    <t>70 1 00 11002</t>
  </si>
  <si>
    <t>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</si>
  <si>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</si>
  <si>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</si>
  <si>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</si>
  <si>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представительного органа муниципального образования "Город Обнинск"</t>
  </si>
  <si>
    <t>70 1 00 11001</t>
  </si>
  <si>
    <t>ВСЕГО</t>
  </si>
  <si>
    <t>Расходы за счет собственных доходов</t>
  </si>
  <si>
    <t>Условно утверждаемые расходы</t>
  </si>
  <si>
    <t>Дефицит</t>
  </si>
  <si>
    <t>от 25.05.2021  № 03-14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</si>
</sst>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sz val="12.5"/>
      <name val="Arial Cyr"/>
      <family val="0"/>
    </font>
    <font>
      <b/>
      <sz val="12.5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2.5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8" fillId="0" borderId="11" xfId="92" applyNumberFormat="1" applyFont="1" applyBorder="1" applyAlignment="1" applyProtection="1">
      <alignment horizontal="left" vertical="top" wrapText="1"/>
      <protection/>
    </xf>
    <xf numFmtId="49" fontId="38" fillId="0" borderId="11" xfId="107" applyNumberFormat="1" applyFont="1" applyBorder="1" applyAlignment="1" applyProtection="1">
      <alignment horizontal="center" vertical="top"/>
      <protection/>
    </xf>
    <xf numFmtId="4" fontId="36" fillId="0" borderId="26" xfId="108" applyNumberFormat="1" applyFont="1" applyBorder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40" fillId="0" borderId="11" xfId="92" applyNumberFormat="1" applyFont="1" applyBorder="1" applyAlignment="1" applyProtection="1">
      <alignment horizontal="left" vertical="top" wrapText="1"/>
      <protection/>
    </xf>
    <xf numFmtId="49" fontId="40" fillId="0" borderId="11" xfId="107" applyNumberFormat="1" applyFont="1" applyBorder="1" applyAlignment="1" applyProtection="1">
      <alignment horizontal="center" vertical="top"/>
      <protection/>
    </xf>
    <xf numFmtId="0" fontId="36" fillId="0" borderId="0" xfId="0" applyFont="1" applyAlignment="1">
      <alignment/>
    </xf>
    <xf numFmtId="0" fontId="41" fillId="0" borderId="11" xfId="92" applyNumberFormat="1" applyFont="1" applyBorder="1" applyAlignment="1" applyProtection="1">
      <alignment horizontal="left" vertical="top" wrapText="1"/>
      <protection/>
    </xf>
    <xf numFmtId="49" fontId="41" fillId="0" borderId="11" xfId="107" applyNumberFormat="1" applyFont="1" applyBorder="1" applyAlignment="1" applyProtection="1">
      <alignment horizontal="center" vertical="top"/>
      <protection/>
    </xf>
    <xf numFmtId="4" fontId="34" fillId="0" borderId="26" xfId="108" applyNumberFormat="1" applyFont="1" applyBorder="1" applyAlignment="1" applyProtection="1">
      <alignment horizontal="center" vertical="top"/>
      <protection/>
    </xf>
    <xf numFmtId="0" fontId="42" fillId="0" borderId="11" xfId="92" applyNumberFormat="1" applyFont="1" applyBorder="1" applyAlignment="1" applyProtection="1">
      <alignment horizontal="left" vertical="top" wrapText="1"/>
      <protection/>
    </xf>
    <xf numFmtId="49" fontId="42" fillId="0" borderId="11" xfId="107" applyNumberFormat="1" applyFont="1" applyBorder="1" applyAlignment="1" applyProtection="1">
      <alignment horizontal="center" vertical="top"/>
      <protection/>
    </xf>
    <xf numFmtId="4" fontId="43" fillId="0" borderId="26" xfId="108" applyNumberFormat="1" applyFont="1" applyBorder="1" applyAlignment="1" applyProtection="1">
      <alignment horizontal="center" vertical="top"/>
      <protection/>
    </xf>
    <xf numFmtId="0" fontId="43" fillId="0" borderId="0" xfId="0" applyFont="1" applyAlignment="1">
      <alignment/>
    </xf>
    <xf numFmtId="4" fontId="34" fillId="0" borderId="0" xfId="0" applyNumberFormat="1" applyFont="1" applyAlignment="1">
      <alignment/>
    </xf>
    <xf numFmtId="0" fontId="40" fillId="0" borderId="21" xfId="92" applyNumberFormat="1" applyFont="1" applyBorder="1" applyAlignment="1" applyProtection="1">
      <alignment horizontal="left" vertical="top" wrapText="1"/>
      <protection/>
    </xf>
    <xf numFmtId="49" fontId="40" fillId="0" borderId="21" xfId="107" applyNumberFormat="1" applyFont="1" applyBorder="1" applyAlignment="1" applyProtection="1">
      <alignment horizontal="center" vertical="top"/>
      <protection/>
    </xf>
    <xf numFmtId="4" fontId="36" fillId="0" borderId="27" xfId="108" applyNumberFormat="1" applyFont="1" applyBorder="1" applyAlignment="1" applyProtection="1">
      <alignment horizontal="center" vertical="top"/>
      <protection/>
    </xf>
    <xf numFmtId="0" fontId="39" fillId="0" borderId="11" xfId="0" applyFont="1" applyBorder="1" applyAlignment="1">
      <alignment vertical="top"/>
    </xf>
    <xf numFmtId="0" fontId="39" fillId="0" borderId="11" xfId="0" applyFont="1" applyBorder="1" applyAlignment="1">
      <alignment horizontal="center" vertical="top"/>
    </xf>
    <xf numFmtId="4" fontId="36" fillId="0" borderId="11" xfId="0" applyNumberFormat="1" applyFont="1" applyBorder="1" applyAlignment="1">
      <alignment horizontal="center"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4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49" fontId="3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/>
    </xf>
    <xf numFmtId="49" fontId="48" fillId="0" borderId="11" xfId="0" applyNumberFormat="1" applyFont="1" applyFill="1" applyBorder="1" applyAlignment="1">
      <alignment horizontal="left" wrapText="1"/>
    </xf>
    <xf numFmtId="49" fontId="48" fillId="0" borderId="11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left" wrapText="1"/>
    </xf>
    <xf numFmtId="49" fontId="36" fillId="0" borderId="11" xfId="0" applyNumberFormat="1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/>
    </xf>
    <xf numFmtId="49" fontId="51" fillId="0" borderId="11" xfId="0" applyNumberFormat="1" applyFont="1" applyFill="1" applyBorder="1" applyAlignment="1">
      <alignment horizontal="left" wrapText="1"/>
    </xf>
    <xf numFmtId="49" fontId="51" fillId="0" borderId="11" xfId="0" applyNumberFormat="1" applyFont="1" applyFill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 wrapText="1"/>
    </xf>
    <xf numFmtId="4" fontId="51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34" fillId="0" borderId="11" xfId="0" applyFont="1" applyFill="1" applyBorder="1" applyAlignment="1">
      <alignment horizontal="justify" wrapText="1"/>
    </xf>
    <xf numFmtId="49" fontId="34" fillId="0" borderId="11" xfId="0" applyNumberFormat="1" applyFont="1" applyFill="1" applyBorder="1" applyAlignment="1">
      <alignment horizontal="center"/>
    </xf>
    <xf numFmtId="49" fontId="34" fillId="0" borderId="11" xfId="0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4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 horizontal="left" wrapText="1"/>
    </xf>
    <xf numFmtId="4" fontId="34" fillId="0" borderId="11" xfId="0" applyNumberFormat="1" applyFont="1" applyFill="1" applyBorder="1" applyAlignment="1">
      <alignment wrapText="1"/>
    </xf>
    <xf numFmtId="49" fontId="34" fillId="0" borderId="11" xfId="0" applyNumberFormat="1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left" wrapText="1"/>
    </xf>
    <xf numFmtId="4" fontId="34" fillId="0" borderId="11" xfId="0" applyNumberFormat="1" applyFont="1" applyFill="1" applyBorder="1" applyAlignment="1">
      <alignment horizontal="right" wrapText="1"/>
    </xf>
    <xf numFmtId="0" fontId="52" fillId="0" borderId="11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center" wrapText="1"/>
    </xf>
    <xf numFmtId="4" fontId="51" fillId="0" borderId="11" xfId="0" applyNumberFormat="1" applyFont="1" applyFill="1" applyBorder="1" applyAlignment="1">
      <alignment wrapText="1"/>
    </xf>
    <xf numFmtId="0" fontId="52" fillId="0" borderId="11" xfId="98" applyFont="1" applyAlignment="1" applyProtection="1">
      <alignment wrapText="1"/>
      <protection/>
    </xf>
    <xf numFmtId="49" fontId="52" fillId="0" borderId="11" xfId="89" applyFont="1" applyAlignment="1" applyProtection="1">
      <alignment horizontal="center" shrinkToFit="1"/>
      <protection/>
    </xf>
    <xf numFmtId="4" fontId="51" fillId="0" borderId="11" xfId="0" applyNumberFormat="1" applyFont="1" applyBorder="1" applyAlignment="1">
      <alignment wrapText="1"/>
    </xf>
    <xf numFmtId="4" fontId="51" fillId="0" borderId="11" xfId="0" applyNumberFormat="1" applyFont="1" applyBorder="1" applyAlignment="1">
      <alignment/>
    </xf>
    <xf numFmtId="0" fontId="41" fillId="0" borderId="11" xfId="98" applyFont="1" applyAlignment="1" applyProtection="1">
      <alignment wrapText="1"/>
      <protection/>
    </xf>
    <xf numFmtId="49" fontId="41" fillId="0" borderId="11" xfId="89" applyFont="1" applyAlignment="1" applyProtection="1">
      <alignment horizontal="center" shrinkToFit="1"/>
      <protection/>
    </xf>
    <xf numFmtId="4" fontId="34" fillId="0" borderId="11" xfId="0" applyNumberFormat="1" applyFont="1" applyBorder="1" applyAlignment="1">
      <alignment wrapText="1"/>
    </xf>
    <xf numFmtId="4" fontId="34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 horizontal="right" wrapText="1"/>
    </xf>
    <xf numFmtId="49" fontId="37" fillId="0" borderId="11" xfId="0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wrapText="1"/>
    </xf>
    <xf numFmtId="0" fontId="41" fillId="0" borderId="11" xfId="131" applyFont="1" applyFill="1" applyBorder="1" applyAlignment="1">
      <alignment horizontal="left" vertical="top" wrapText="1"/>
      <protection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center"/>
    </xf>
    <xf numFmtId="4" fontId="36" fillId="0" borderId="11" xfId="0" applyNumberFormat="1" applyFont="1" applyFill="1" applyBorder="1" applyAlignment="1">
      <alignment wrapText="1"/>
    </xf>
    <xf numFmtId="0" fontId="34" fillId="0" borderId="1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 wrapText="1"/>
    </xf>
    <xf numFmtId="49" fontId="34" fillId="0" borderId="21" xfId="0" applyNumberFormat="1" applyFont="1" applyFill="1" applyBorder="1" applyAlignment="1">
      <alignment horizontal="center"/>
    </xf>
    <xf numFmtId="49" fontId="34" fillId="0" borderId="21" xfId="0" applyNumberFormat="1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wrapText="1"/>
    </xf>
    <xf numFmtId="4" fontId="34" fillId="0" borderId="21" xfId="0" applyNumberFormat="1" applyFont="1" applyFill="1" applyBorder="1" applyAlignment="1">
      <alignment wrapText="1"/>
    </xf>
    <xf numFmtId="0" fontId="34" fillId="0" borderId="11" xfId="0" applyNumberFormat="1" applyFont="1" applyFill="1" applyBorder="1" applyAlignment="1">
      <alignment horizontal="left" wrapText="1"/>
    </xf>
    <xf numFmtId="0" fontId="41" fillId="0" borderId="11" xfId="0" applyNumberFormat="1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0" fontId="34" fillId="0" borderId="28" xfId="0" applyFont="1" applyFill="1" applyBorder="1" applyAlignment="1">
      <alignment horizontal="center" wrapText="1"/>
    </xf>
    <xf numFmtId="0" fontId="34" fillId="0" borderId="11" xfId="0" applyFont="1" applyBorder="1" applyAlignment="1">
      <alignment horizontal="left" wrapText="1"/>
    </xf>
    <xf numFmtId="49" fontId="34" fillId="0" borderId="11" xfId="0" applyNumberFormat="1" applyFont="1" applyBorder="1" applyAlignment="1">
      <alignment horizontal="center"/>
    </xf>
    <xf numFmtId="49" fontId="34" fillId="0" borderId="11" xfId="0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4" fillId="0" borderId="11" xfId="0" applyFont="1" applyBorder="1" applyAlignment="1">
      <alignment horizontal="justify" wrapText="1"/>
    </xf>
    <xf numFmtId="0" fontId="41" fillId="0" borderId="11" xfId="0" applyFont="1" applyBorder="1" applyAlignment="1">
      <alignment horizontal="left" wrapText="1"/>
    </xf>
    <xf numFmtId="0" fontId="51" fillId="0" borderId="11" xfId="0" applyFont="1" applyFill="1" applyBorder="1" applyAlignment="1">
      <alignment horizontal="left" wrapText="1"/>
    </xf>
    <xf numFmtId="4" fontId="51" fillId="0" borderId="11" xfId="0" applyNumberFormat="1" applyFont="1" applyFill="1" applyBorder="1" applyAlignment="1">
      <alignment horizontal="right" wrapText="1"/>
    </xf>
    <xf numFmtId="0" fontId="34" fillId="0" borderId="11" xfId="0" applyFont="1" applyFill="1" applyBorder="1" applyAlignment="1">
      <alignment horizontal="center"/>
    </xf>
    <xf numFmtId="0" fontId="41" fillId="0" borderId="11" xfId="130" applyFont="1" applyFill="1" applyBorder="1" applyAlignment="1">
      <alignment vertical="top" wrapText="1"/>
      <protection/>
    </xf>
    <xf numFmtId="0" fontId="33" fillId="0" borderId="0" xfId="0" applyFont="1" applyFill="1" applyAlignment="1">
      <alignment horizontal="left"/>
    </xf>
    <xf numFmtId="0" fontId="40" fillId="0" borderId="11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 wrapText="1"/>
    </xf>
    <xf numFmtId="49" fontId="39" fillId="0" borderId="11" xfId="0" applyNumberFormat="1" applyFont="1" applyFill="1" applyBorder="1" applyAlignment="1">
      <alignment horizontal="center" wrapText="1"/>
    </xf>
    <xf numFmtId="0" fontId="41" fillId="22" borderId="11" xfId="110" applyNumberFormat="1" applyFont="1" applyFill="1" applyProtection="1">
      <alignment vertical="top" wrapText="1"/>
      <protection/>
    </xf>
    <xf numFmtId="0" fontId="41" fillId="0" borderId="11" xfId="110" applyNumberFormat="1" applyFont="1" applyFill="1" applyProtection="1">
      <alignment vertical="top" wrapText="1"/>
      <protection/>
    </xf>
    <xf numFmtId="0" fontId="48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49" fontId="56" fillId="0" borderId="11" xfId="0" applyNumberFormat="1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1" xfId="0" applyNumberFormat="1" applyFont="1" applyFill="1" applyBorder="1" applyAlignment="1">
      <alignment horizontal="left" wrapText="1"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4" fontId="41" fillId="0" borderId="11" xfId="99" applyNumberFormat="1" applyFont="1" applyFill="1" applyBorder="1" applyProtection="1">
      <alignment horizontal="right" vertical="top" shrinkToFit="1"/>
      <protection locked="0"/>
    </xf>
    <xf numFmtId="0" fontId="48" fillId="0" borderId="11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left"/>
    </xf>
    <xf numFmtId="0" fontId="57" fillId="0" borderId="11" xfId="0" applyFont="1" applyFill="1" applyBorder="1" applyAlignment="1">
      <alignment horizontal="center"/>
    </xf>
    <xf numFmtId="4" fontId="58" fillId="0" borderId="11" xfId="0" applyNumberFormat="1" applyFont="1" applyFill="1" applyBorder="1" applyAlignment="1">
      <alignment horizontal="right"/>
    </xf>
    <xf numFmtId="0" fontId="57" fillId="0" borderId="0" xfId="0" applyFont="1" applyFill="1" applyAlignment="1">
      <alignment horizontal="left"/>
    </xf>
    <xf numFmtId="0" fontId="59" fillId="0" borderId="0" xfId="0" applyFont="1" applyFill="1" applyAlignment="1">
      <alignment horizontal="left"/>
    </xf>
    <xf numFmtId="0" fontId="35" fillId="0" borderId="0" xfId="0" applyFont="1" applyBorder="1" applyAlignment="1">
      <alignment horizontal="center" wrapText="1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view="pageBreakPreview" zoomScaleSheetLayoutView="100" zoomScalePageLayoutView="0" workbookViewId="0" topLeftCell="A40">
      <selection activeCell="D13" sqref="D13"/>
    </sheetView>
  </sheetViews>
  <sheetFormatPr defaultColWidth="9.00390625" defaultRowHeight="12.75"/>
  <cols>
    <col min="1" max="1" width="51.625" style="1" customWidth="1"/>
    <col min="2" max="2" width="29.375" style="2" customWidth="1"/>
    <col min="3" max="3" width="26.625" style="2" customWidth="1"/>
    <col min="4" max="4" width="24.625" style="2" customWidth="1"/>
    <col min="5" max="5" width="23.25390625" style="3" customWidth="1"/>
    <col min="6" max="6" width="9.00390625" style="4" customWidth="1"/>
    <col min="7" max="7" width="14.00390625" style="4" customWidth="1"/>
    <col min="8" max="16384" width="9.00390625" style="4" customWidth="1"/>
  </cols>
  <sheetData>
    <row r="1" spans="1:5" s="5" customFormat="1" ht="19.5" customHeight="1">
      <c r="A1" s="134" t="s">
        <v>0</v>
      </c>
      <c r="B1" s="134"/>
      <c r="C1" s="134"/>
      <c r="D1" s="134"/>
      <c r="E1" s="134"/>
    </row>
    <row r="2" spans="1:5" s="5" customFormat="1" ht="6.75" customHeight="1">
      <c r="A2" s="6"/>
      <c r="B2" s="6"/>
      <c r="C2" s="6"/>
      <c r="D2" s="6"/>
      <c r="E2" s="7"/>
    </row>
    <row r="3" spans="1:5" s="1" customFormat="1" ht="13.5" customHeight="1">
      <c r="A3" s="135" t="s">
        <v>1</v>
      </c>
      <c r="B3" s="136" t="s">
        <v>2</v>
      </c>
      <c r="C3" s="137" t="s">
        <v>3</v>
      </c>
      <c r="D3" s="137" t="s">
        <v>4</v>
      </c>
      <c r="E3" s="137" t="s">
        <v>5</v>
      </c>
    </row>
    <row r="4" spans="1:5" s="1" customFormat="1" ht="35.25" customHeight="1">
      <c r="A4" s="135"/>
      <c r="B4" s="136"/>
      <c r="C4" s="137"/>
      <c r="D4" s="137"/>
      <c r="E4" s="137"/>
    </row>
    <row r="5" spans="1:5" s="11" customFormat="1" ht="18.75" customHeight="1">
      <c r="A5" s="8" t="s">
        <v>6</v>
      </c>
      <c r="B5" s="9" t="s">
        <v>7</v>
      </c>
      <c r="C5" s="10">
        <f>SUM(C6,C9,C11,C17,C21,C22,C29,C31,C34,C37,C38)</f>
        <v>2208678000</v>
      </c>
      <c r="D5" s="10">
        <f>SUM(D6,D9,D11,D17,D21,D22,D29,D31,D34,D37,D38)</f>
        <v>185218000</v>
      </c>
      <c r="E5" s="10">
        <f aca="true" t="shared" si="0" ref="E5:E48">SUM(C5:D5)</f>
        <v>2393896000</v>
      </c>
    </row>
    <row r="6" spans="1:5" s="14" customFormat="1" ht="18.75" customHeight="1">
      <c r="A6" s="12" t="s">
        <v>8</v>
      </c>
      <c r="B6" s="13" t="s">
        <v>9</v>
      </c>
      <c r="C6" s="10">
        <f>SUM(C7:C8)</f>
        <v>851100000</v>
      </c>
      <c r="D6" s="10">
        <f>SUM(D7:D8)</f>
        <v>12400000</v>
      </c>
      <c r="E6" s="10">
        <f t="shared" si="0"/>
        <v>863500000</v>
      </c>
    </row>
    <row r="7" spans="1:5" s="5" customFormat="1" ht="15.75">
      <c r="A7" s="15" t="s">
        <v>10</v>
      </c>
      <c r="B7" s="16" t="s">
        <v>11</v>
      </c>
      <c r="C7" s="17">
        <v>14100000</v>
      </c>
      <c r="D7" s="17">
        <v>2400000</v>
      </c>
      <c r="E7" s="17">
        <f t="shared" si="0"/>
        <v>16500000</v>
      </c>
    </row>
    <row r="8" spans="1:5" s="5" customFormat="1" ht="15.75">
      <c r="A8" s="15" t="s">
        <v>12</v>
      </c>
      <c r="B8" s="16" t="s">
        <v>13</v>
      </c>
      <c r="C8" s="17">
        <v>837000000</v>
      </c>
      <c r="D8" s="17">
        <v>10000000</v>
      </c>
      <c r="E8" s="17">
        <f t="shared" si="0"/>
        <v>847000000</v>
      </c>
    </row>
    <row r="9" spans="1:5" s="14" customFormat="1" ht="47.25">
      <c r="A9" s="12" t="s">
        <v>14</v>
      </c>
      <c r="B9" s="13" t="s">
        <v>15</v>
      </c>
      <c r="C9" s="10">
        <f>C10</f>
        <v>4858000</v>
      </c>
      <c r="D9" s="10">
        <f>D10</f>
        <v>0</v>
      </c>
      <c r="E9" s="10">
        <f t="shared" si="0"/>
        <v>4858000</v>
      </c>
    </row>
    <row r="10" spans="1:5" s="5" customFormat="1" ht="47.25">
      <c r="A10" s="15" t="s">
        <v>16</v>
      </c>
      <c r="B10" s="16" t="s">
        <v>17</v>
      </c>
      <c r="C10" s="17">
        <v>4858000</v>
      </c>
      <c r="D10" s="17">
        <v>0</v>
      </c>
      <c r="E10" s="17">
        <f t="shared" si="0"/>
        <v>4858000</v>
      </c>
    </row>
    <row r="11" spans="1:5" s="14" customFormat="1" ht="15.75">
      <c r="A11" s="12" t="s">
        <v>18</v>
      </c>
      <c r="B11" s="13" t="s">
        <v>19</v>
      </c>
      <c r="C11" s="10">
        <f>SUM(C12:C16)</f>
        <v>830100000</v>
      </c>
      <c r="D11" s="10">
        <f>SUM(D12:D16)</f>
        <v>141368000</v>
      </c>
      <c r="E11" s="10">
        <f t="shared" si="0"/>
        <v>971468000</v>
      </c>
    </row>
    <row r="12" spans="1:5" s="5" customFormat="1" ht="31.5">
      <c r="A12" s="15" t="s">
        <v>20</v>
      </c>
      <c r="B12" s="16" t="s">
        <v>21</v>
      </c>
      <c r="C12" s="17">
        <v>793600000</v>
      </c>
      <c r="D12" s="17">
        <f>104450000+1418000</f>
        <v>105868000</v>
      </c>
      <c r="E12" s="17">
        <f t="shared" si="0"/>
        <v>899468000</v>
      </c>
    </row>
    <row r="13" spans="1:5" s="5" customFormat="1" ht="31.5">
      <c r="A13" s="15" t="s">
        <v>22</v>
      </c>
      <c r="B13" s="16" t="s">
        <v>23</v>
      </c>
      <c r="C13" s="17">
        <v>25000000</v>
      </c>
      <c r="D13" s="17">
        <v>0</v>
      </c>
      <c r="E13" s="17">
        <f t="shared" si="0"/>
        <v>25000000</v>
      </c>
    </row>
    <row r="14" spans="1:5" s="5" customFormat="1" ht="15.75">
      <c r="A14" s="15" t="s">
        <v>24</v>
      </c>
      <c r="B14" s="16" t="s">
        <v>25</v>
      </c>
      <c r="C14" s="17">
        <v>0</v>
      </c>
      <c r="D14" s="17">
        <v>0</v>
      </c>
      <c r="E14" s="17">
        <f t="shared" si="0"/>
        <v>0</v>
      </c>
    </row>
    <row r="15" spans="1:5" s="5" customFormat="1" ht="31.5">
      <c r="A15" s="15" t="s">
        <v>26</v>
      </c>
      <c r="B15" s="16" t="s">
        <v>27</v>
      </c>
      <c r="C15" s="17">
        <v>11500000</v>
      </c>
      <c r="D15" s="17">
        <v>35500000</v>
      </c>
      <c r="E15" s="17">
        <f t="shared" si="0"/>
        <v>47000000</v>
      </c>
    </row>
    <row r="16" spans="1:5" s="5" customFormat="1" ht="15.75">
      <c r="A16" s="15" t="s">
        <v>28</v>
      </c>
      <c r="B16" s="16" t="s">
        <v>29</v>
      </c>
      <c r="C16" s="17">
        <v>0</v>
      </c>
      <c r="D16" s="17">
        <v>0</v>
      </c>
      <c r="E16" s="17">
        <f t="shared" si="0"/>
        <v>0</v>
      </c>
    </row>
    <row r="17" spans="1:5" s="14" customFormat="1" ht="15.75">
      <c r="A17" s="12" t="s">
        <v>30</v>
      </c>
      <c r="B17" s="13" t="s">
        <v>31</v>
      </c>
      <c r="C17" s="10">
        <f>SUM(C18:C20)</f>
        <v>241600000</v>
      </c>
      <c r="D17" s="10">
        <f>SUM(D18:D20)</f>
        <v>0</v>
      </c>
      <c r="E17" s="10">
        <f t="shared" si="0"/>
        <v>241600000</v>
      </c>
    </row>
    <row r="18" spans="1:5" s="5" customFormat="1" ht="15.75">
      <c r="A18" s="15" t="s">
        <v>32</v>
      </c>
      <c r="B18" s="16" t="s">
        <v>33</v>
      </c>
      <c r="C18" s="17">
        <v>45000000</v>
      </c>
      <c r="D18" s="17">
        <v>0</v>
      </c>
      <c r="E18" s="17">
        <f t="shared" si="0"/>
        <v>45000000</v>
      </c>
    </row>
    <row r="19" spans="1:5" s="5" customFormat="1" ht="15.75">
      <c r="A19" s="15" t="s">
        <v>34</v>
      </c>
      <c r="B19" s="16" t="s">
        <v>35</v>
      </c>
      <c r="C19" s="17">
        <v>24600000</v>
      </c>
      <c r="D19" s="17">
        <v>0</v>
      </c>
      <c r="E19" s="17">
        <f t="shared" si="0"/>
        <v>24600000</v>
      </c>
    </row>
    <row r="20" spans="1:5" s="5" customFormat="1" ht="15.75">
      <c r="A20" s="15" t="s">
        <v>36</v>
      </c>
      <c r="B20" s="16" t="s">
        <v>37</v>
      </c>
      <c r="C20" s="17">
        <v>172000000</v>
      </c>
      <c r="D20" s="17">
        <v>0</v>
      </c>
      <c r="E20" s="17">
        <f t="shared" si="0"/>
        <v>172000000</v>
      </c>
    </row>
    <row r="21" spans="1:5" s="14" customFormat="1" ht="15.75">
      <c r="A21" s="12" t="s">
        <v>38</v>
      </c>
      <c r="B21" s="13" t="s">
        <v>39</v>
      </c>
      <c r="C21" s="10">
        <v>13000000</v>
      </c>
      <c r="D21" s="10">
        <v>0</v>
      </c>
      <c r="E21" s="10">
        <f t="shared" si="0"/>
        <v>13000000</v>
      </c>
    </row>
    <row r="22" spans="1:5" s="14" customFormat="1" ht="63">
      <c r="A22" s="12" t="s">
        <v>40</v>
      </c>
      <c r="B22" s="13" t="s">
        <v>41</v>
      </c>
      <c r="C22" s="10">
        <f>SUM(C23,C27,C28)</f>
        <v>155404000</v>
      </c>
      <c r="D22" s="10">
        <f>SUM(D23,D27,D28)</f>
        <v>0</v>
      </c>
      <c r="E22" s="10">
        <f t="shared" si="0"/>
        <v>155404000</v>
      </c>
    </row>
    <row r="23" spans="1:5" s="5" customFormat="1" ht="113.25" customHeight="1">
      <c r="A23" s="15" t="s">
        <v>42</v>
      </c>
      <c r="B23" s="16" t="s">
        <v>43</v>
      </c>
      <c r="C23" s="17">
        <f>SUM(C24:C26)</f>
        <v>144400000</v>
      </c>
      <c r="D23" s="17">
        <f>SUM(D24:D26)</f>
        <v>0</v>
      </c>
      <c r="E23" s="17">
        <f t="shared" si="0"/>
        <v>144400000</v>
      </c>
    </row>
    <row r="24" spans="1:5" s="21" customFormat="1" ht="94.5">
      <c r="A24" s="18" t="s">
        <v>44</v>
      </c>
      <c r="B24" s="19" t="s">
        <v>45</v>
      </c>
      <c r="C24" s="20">
        <v>83471000</v>
      </c>
      <c r="D24" s="20">
        <v>0</v>
      </c>
      <c r="E24" s="20">
        <f t="shared" si="0"/>
        <v>83471000</v>
      </c>
    </row>
    <row r="25" spans="1:5" s="21" customFormat="1" ht="111" customHeight="1">
      <c r="A25" s="18" t="s">
        <v>46</v>
      </c>
      <c r="B25" s="19" t="s">
        <v>47</v>
      </c>
      <c r="C25" s="20">
        <v>26529000</v>
      </c>
      <c r="D25" s="20">
        <v>0</v>
      </c>
      <c r="E25" s="20">
        <f t="shared" si="0"/>
        <v>26529000</v>
      </c>
    </row>
    <row r="26" spans="1:5" s="21" customFormat="1" ht="63">
      <c r="A26" s="18" t="s">
        <v>48</v>
      </c>
      <c r="B26" s="19" t="s">
        <v>49</v>
      </c>
      <c r="C26" s="20">
        <v>34400000</v>
      </c>
      <c r="D26" s="20">
        <v>0</v>
      </c>
      <c r="E26" s="20">
        <f t="shared" si="0"/>
        <v>34400000</v>
      </c>
    </row>
    <row r="27" spans="1:5" s="5" customFormat="1" ht="31.5">
      <c r="A27" s="15" t="s">
        <v>50</v>
      </c>
      <c r="B27" s="16" t="s">
        <v>51</v>
      </c>
      <c r="C27" s="17">
        <v>4204000</v>
      </c>
      <c r="D27" s="17">
        <v>0</v>
      </c>
      <c r="E27" s="17">
        <f t="shared" si="0"/>
        <v>4204000</v>
      </c>
    </row>
    <row r="28" spans="1:5" s="5" customFormat="1" ht="96.75" customHeight="1">
      <c r="A28" s="15" t="s">
        <v>52</v>
      </c>
      <c r="B28" s="16" t="s">
        <v>53</v>
      </c>
      <c r="C28" s="17">
        <v>6800000</v>
      </c>
      <c r="D28" s="17">
        <v>0</v>
      </c>
      <c r="E28" s="17">
        <f t="shared" si="0"/>
        <v>6800000</v>
      </c>
    </row>
    <row r="29" spans="1:5" s="14" customFormat="1" ht="31.5">
      <c r="A29" s="12" t="s">
        <v>54</v>
      </c>
      <c r="B29" s="13" t="s">
        <v>55</v>
      </c>
      <c r="C29" s="10">
        <f>C30</f>
        <v>3800000</v>
      </c>
      <c r="D29" s="10">
        <f>D30</f>
        <v>3800000</v>
      </c>
      <c r="E29" s="10">
        <f t="shared" si="0"/>
        <v>7600000</v>
      </c>
    </row>
    <row r="30" spans="1:5" s="5" customFormat="1" ht="31.5">
      <c r="A30" s="15" t="s">
        <v>56</v>
      </c>
      <c r="B30" s="16" t="s">
        <v>57</v>
      </c>
      <c r="C30" s="17">
        <v>3800000</v>
      </c>
      <c r="D30" s="17">
        <v>3800000</v>
      </c>
      <c r="E30" s="17">
        <f t="shared" si="0"/>
        <v>7600000</v>
      </c>
    </row>
    <row r="31" spans="1:5" s="14" customFormat="1" ht="47.25">
      <c r="A31" s="12" t="s">
        <v>58</v>
      </c>
      <c r="B31" s="13" t="s">
        <v>59</v>
      </c>
      <c r="C31" s="10">
        <f>SUM(C32:C33)</f>
        <v>24330000</v>
      </c>
      <c r="D31" s="10">
        <f>SUM(D32:D33)</f>
        <v>350000</v>
      </c>
      <c r="E31" s="10">
        <f t="shared" si="0"/>
        <v>24680000</v>
      </c>
    </row>
    <row r="32" spans="1:5" s="5" customFormat="1" ht="15.75">
      <c r="A32" s="15" t="s">
        <v>60</v>
      </c>
      <c r="B32" s="16" t="s">
        <v>61</v>
      </c>
      <c r="C32" s="17">
        <v>24000000</v>
      </c>
      <c r="D32" s="17">
        <v>0</v>
      </c>
      <c r="E32" s="17">
        <f t="shared" si="0"/>
        <v>24000000</v>
      </c>
    </row>
    <row r="33" spans="1:5" s="5" customFormat="1" ht="18.75" customHeight="1">
      <c r="A33" s="15" t="s">
        <v>62</v>
      </c>
      <c r="B33" s="16" t="s">
        <v>63</v>
      </c>
      <c r="C33" s="17">
        <v>330000</v>
      </c>
      <c r="D33" s="17">
        <v>350000</v>
      </c>
      <c r="E33" s="17">
        <f t="shared" si="0"/>
        <v>680000</v>
      </c>
    </row>
    <row r="34" spans="1:5" s="14" customFormat="1" ht="32.25" customHeight="1">
      <c r="A34" s="12" t="s">
        <v>64</v>
      </c>
      <c r="B34" s="13" t="s">
        <v>65</v>
      </c>
      <c r="C34" s="10">
        <f>SUM(C35:C36)</f>
        <v>50916000</v>
      </c>
      <c r="D34" s="10">
        <f>SUM(D35:D36)</f>
        <v>27300000</v>
      </c>
      <c r="E34" s="10">
        <f t="shared" si="0"/>
        <v>78216000</v>
      </c>
    </row>
    <row r="35" spans="1:5" s="5" customFormat="1" ht="93" customHeight="1">
      <c r="A35" s="15" t="s">
        <v>66</v>
      </c>
      <c r="B35" s="16" t="s">
        <v>67</v>
      </c>
      <c r="C35" s="17">
        <v>37000000</v>
      </c>
      <c r="D35" s="17">
        <v>27300000</v>
      </c>
      <c r="E35" s="17">
        <f t="shared" si="0"/>
        <v>64300000</v>
      </c>
    </row>
    <row r="36" spans="1:5" s="5" customFormat="1" ht="47.25">
      <c r="A36" s="15" t="s">
        <v>68</v>
      </c>
      <c r="B36" s="16" t="s">
        <v>69</v>
      </c>
      <c r="C36" s="17">
        <v>13916000</v>
      </c>
      <c r="D36" s="17">
        <v>0</v>
      </c>
      <c r="E36" s="17">
        <f t="shared" si="0"/>
        <v>13916000</v>
      </c>
    </row>
    <row r="37" spans="1:5" s="14" customFormat="1" ht="31.5">
      <c r="A37" s="12" t="s">
        <v>70</v>
      </c>
      <c r="B37" s="13" t="s">
        <v>71</v>
      </c>
      <c r="C37" s="10">
        <v>17570000</v>
      </c>
      <c r="D37" s="10">
        <v>0</v>
      </c>
      <c r="E37" s="10">
        <f t="shared" si="0"/>
        <v>17570000</v>
      </c>
    </row>
    <row r="38" spans="1:5" s="14" customFormat="1" ht="15.75">
      <c r="A38" s="12" t="s">
        <v>72</v>
      </c>
      <c r="B38" s="13" t="s">
        <v>73</v>
      </c>
      <c r="C38" s="10">
        <v>16000000</v>
      </c>
      <c r="D38" s="10">
        <v>0</v>
      </c>
      <c r="E38" s="10">
        <f t="shared" si="0"/>
        <v>16000000</v>
      </c>
    </row>
    <row r="39" spans="1:5" s="11" customFormat="1" ht="16.5">
      <c r="A39" s="8" t="s">
        <v>74</v>
      </c>
      <c r="B39" s="9" t="s">
        <v>75</v>
      </c>
      <c r="C39" s="10">
        <f>SUM(C40,C45,C46,C47)</f>
        <v>3415415106.2200003</v>
      </c>
      <c r="D39" s="10">
        <f>SUM(D40,D45,D46,D47)</f>
        <v>63578668.31</v>
      </c>
      <c r="E39" s="10">
        <f t="shared" si="0"/>
        <v>3478993774.53</v>
      </c>
    </row>
    <row r="40" spans="1:5" s="14" customFormat="1" ht="47.25">
      <c r="A40" s="12" t="s">
        <v>76</v>
      </c>
      <c r="B40" s="13" t="s">
        <v>77</v>
      </c>
      <c r="C40" s="10">
        <f>SUM(C41:C44)</f>
        <v>3415415106.2200003</v>
      </c>
      <c r="D40" s="10">
        <f>SUM(D41:D44)</f>
        <v>78958229.56</v>
      </c>
      <c r="E40" s="10">
        <f t="shared" si="0"/>
        <v>3494373335.78</v>
      </c>
    </row>
    <row r="41" spans="1:5" s="14" customFormat="1" ht="47.25">
      <c r="A41" s="15" t="s">
        <v>78</v>
      </c>
      <c r="B41" s="16" t="s">
        <v>79</v>
      </c>
      <c r="C41" s="17"/>
      <c r="D41" s="17">
        <f>2140508+2000000</f>
        <v>4140508</v>
      </c>
      <c r="E41" s="17">
        <f t="shared" si="0"/>
        <v>4140508</v>
      </c>
    </row>
    <row r="42" spans="1:7" s="5" customFormat="1" ht="47.25">
      <c r="A42" s="15" t="s">
        <v>80</v>
      </c>
      <c r="B42" s="16" t="s">
        <v>81</v>
      </c>
      <c r="C42" s="17">
        <f>880766306.19+297361085.53</f>
        <v>1178127391.72</v>
      </c>
      <c r="D42" s="17">
        <f>2961513.5+9485505+113781.81+7171247.23</f>
        <v>19732047.54</v>
      </c>
      <c r="E42" s="17">
        <f t="shared" si="0"/>
        <v>1197859439.26</v>
      </c>
      <c r="G42" s="22"/>
    </row>
    <row r="43" spans="1:5" s="5" customFormat="1" ht="31.5">
      <c r="A43" s="15" t="s">
        <v>82</v>
      </c>
      <c r="B43" s="16" t="s">
        <v>83</v>
      </c>
      <c r="C43" s="17">
        <f>1933693638.5+178139601</f>
        <v>2111833239.5</v>
      </c>
      <c r="D43" s="17">
        <f>1847328-113328-1290520+505440+207231+46919.29+144364+8005916</f>
        <v>9353350.29</v>
      </c>
      <c r="E43" s="17">
        <f t="shared" si="0"/>
        <v>2121186589.79</v>
      </c>
    </row>
    <row r="44" spans="1:5" s="5" customFormat="1" ht="15.75">
      <c r="A44" s="15" t="s">
        <v>84</v>
      </c>
      <c r="B44" s="16" t="s">
        <v>85</v>
      </c>
      <c r="C44" s="17">
        <f>85769515+39684960</f>
        <v>125454475</v>
      </c>
      <c r="D44" s="17">
        <f>15539338+10487595.67+2680414.02+17024976.04</f>
        <v>45732323.730000004</v>
      </c>
      <c r="E44" s="17">
        <f t="shared" si="0"/>
        <v>171186798.73000002</v>
      </c>
    </row>
    <row r="45" spans="1:5" s="14" customFormat="1" ht="31.5">
      <c r="A45" s="12" t="s">
        <v>86</v>
      </c>
      <c r="B45" s="13" t="s">
        <v>87</v>
      </c>
      <c r="C45" s="10">
        <v>0</v>
      </c>
      <c r="D45" s="10">
        <v>0</v>
      </c>
      <c r="E45" s="10">
        <f t="shared" si="0"/>
        <v>0</v>
      </c>
    </row>
    <row r="46" spans="1:5" s="14" customFormat="1" ht="125.25" customHeight="1">
      <c r="A46" s="12" t="s">
        <v>88</v>
      </c>
      <c r="B46" s="13" t="s">
        <v>89</v>
      </c>
      <c r="C46" s="10">
        <v>0</v>
      </c>
      <c r="D46" s="10">
        <v>0</v>
      </c>
      <c r="E46" s="10">
        <f t="shared" si="0"/>
        <v>0</v>
      </c>
    </row>
    <row r="47" spans="1:5" s="14" customFormat="1" ht="63">
      <c r="A47" s="23" t="s">
        <v>90</v>
      </c>
      <c r="B47" s="24" t="s">
        <v>91</v>
      </c>
      <c r="C47" s="25">
        <v>0</v>
      </c>
      <c r="D47" s="25">
        <v>-15379561.25</v>
      </c>
      <c r="E47" s="10">
        <f t="shared" si="0"/>
        <v>-15379561.25</v>
      </c>
    </row>
    <row r="48" spans="1:5" s="11" customFormat="1" ht="18.75" customHeight="1">
      <c r="A48" s="26" t="s">
        <v>92</v>
      </c>
      <c r="B48" s="27" t="s">
        <v>93</v>
      </c>
      <c r="C48" s="28">
        <f>SUM(C5,C39)</f>
        <v>5624093106.22</v>
      </c>
      <c r="D48" s="28">
        <f>SUM(D5,D39)</f>
        <v>248796668.31</v>
      </c>
      <c r="E48" s="10">
        <f t="shared" si="0"/>
        <v>5872889774.530001</v>
      </c>
    </row>
    <row r="49" spans="1:5" s="5" customFormat="1" ht="15.75">
      <c r="A49" s="29"/>
      <c r="B49" s="30"/>
      <c r="C49" s="30"/>
      <c r="D49" s="30"/>
      <c r="E49" s="30"/>
    </row>
    <row r="50" spans="1:5" s="5" customFormat="1" ht="15.75">
      <c r="A50" s="29"/>
      <c r="B50" s="30"/>
      <c r="C50" s="30"/>
      <c r="D50" s="30"/>
      <c r="E50" s="30"/>
    </row>
    <row r="51" spans="1:5" s="5" customFormat="1" ht="15.75">
      <c r="A51" s="29"/>
      <c r="B51" s="30"/>
      <c r="C51" s="30"/>
      <c r="D51" s="30"/>
      <c r="E51" s="30"/>
    </row>
    <row r="52" spans="1:5" s="5" customFormat="1" ht="15.75">
      <c r="A52" s="29"/>
      <c r="B52" s="30"/>
      <c r="C52" s="30"/>
      <c r="D52" s="30"/>
      <c r="E52" s="30"/>
    </row>
    <row r="53" spans="1:5" s="5" customFormat="1" ht="15.75">
      <c r="A53" s="29"/>
      <c r="B53" s="30"/>
      <c r="C53" s="30"/>
      <c r="D53" s="30"/>
      <c r="E53" s="30"/>
    </row>
    <row r="54" spans="1:5" s="5" customFormat="1" ht="15.75">
      <c r="A54" s="29"/>
      <c r="B54" s="30"/>
      <c r="C54" s="30"/>
      <c r="D54" s="30"/>
      <c r="E54" s="30"/>
    </row>
    <row r="55" spans="2:5" s="5" customFormat="1" ht="15.75">
      <c r="B55" s="3"/>
      <c r="C55" s="3"/>
      <c r="D55" s="3"/>
      <c r="E55" s="3"/>
    </row>
    <row r="56" spans="2:5" s="5" customFormat="1" ht="15.75">
      <c r="B56" s="3"/>
      <c r="C56" s="3"/>
      <c r="D56" s="3"/>
      <c r="E56" s="3"/>
    </row>
    <row r="57" spans="2:5" s="5" customFormat="1" ht="15.75">
      <c r="B57" s="3"/>
      <c r="C57" s="3"/>
      <c r="D57" s="3"/>
      <c r="E57" s="3"/>
    </row>
    <row r="58" spans="2:5" s="5" customFormat="1" ht="15.75">
      <c r="B58" s="3"/>
      <c r="C58" s="3"/>
      <c r="D58" s="3"/>
      <c r="E58" s="3"/>
    </row>
    <row r="59" spans="2:5" s="5" customFormat="1" ht="15.75">
      <c r="B59" s="3"/>
      <c r="C59" s="3"/>
      <c r="D59" s="3"/>
      <c r="E59" s="3"/>
    </row>
    <row r="60" spans="2:5" s="5" customFormat="1" ht="15.75">
      <c r="B60" s="3"/>
      <c r="C60" s="3"/>
      <c r="D60" s="3"/>
      <c r="E60" s="3"/>
    </row>
    <row r="61" spans="2:5" s="5" customFormat="1" ht="15.75">
      <c r="B61" s="3"/>
      <c r="C61" s="3"/>
      <c r="D61" s="3"/>
      <c r="E61" s="3"/>
    </row>
    <row r="62" spans="2:5" s="5" customFormat="1" ht="15.75">
      <c r="B62" s="3"/>
      <c r="C62" s="3"/>
      <c r="D62" s="3"/>
      <c r="E62" s="3"/>
    </row>
    <row r="63" spans="2:5" s="5" customFormat="1" ht="15.75">
      <c r="B63" s="3"/>
      <c r="C63" s="3"/>
      <c r="D63" s="3"/>
      <c r="E63" s="3"/>
    </row>
    <row r="64" spans="2:5" s="5" customFormat="1" ht="15.75">
      <c r="B64" s="3"/>
      <c r="C64" s="3"/>
      <c r="D64" s="3"/>
      <c r="E64" s="3"/>
    </row>
    <row r="65" spans="2:5" s="5" customFormat="1" ht="15.75">
      <c r="B65" s="3"/>
      <c r="C65" s="3"/>
      <c r="D65" s="3"/>
      <c r="E65" s="3"/>
    </row>
    <row r="66" spans="2:5" s="5" customFormat="1" ht="15.75">
      <c r="B66" s="3"/>
      <c r="C66" s="3"/>
      <c r="D66" s="3"/>
      <c r="E66" s="3"/>
    </row>
    <row r="67" spans="2:5" s="5" customFormat="1" ht="15.75">
      <c r="B67" s="3"/>
      <c r="C67" s="3"/>
      <c r="D67" s="3"/>
      <c r="E67" s="3"/>
    </row>
    <row r="68" spans="2:5" s="5" customFormat="1" ht="15.75">
      <c r="B68" s="3"/>
      <c r="C68" s="3"/>
      <c r="D68" s="3"/>
      <c r="E68" s="3"/>
    </row>
    <row r="69" spans="2:5" s="5" customFormat="1" ht="15.75">
      <c r="B69" s="3"/>
      <c r="C69" s="3"/>
      <c r="D69" s="3"/>
      <c r="E69" s="3"/>
    </row>
    <row r="70" spans="2:5" s="5" customFormat="1" ht="15.75">
      <c r="B70" s="3"/>
      <c r="C70" s="3"/>
      <c r="D70" s="3"/>
      <c r="E70" s="3"/>
    </row>
    <row r="71" spans="2:5" s="5" customFormat="1" ht="15.75">
      <c r="B71" s="3"/>
      <c r="C71" s="3"/>
      <c r="D71" s="3"/>
      <c r="E71" s="3"/>
    </row>
    <row r="72" spans="2:5" s="5" customFormat="1" ht="15.75">
      <c r="B72" s="3"/>
      <c r="C72" s="3"/>
      <c r="D72" s="3"/>
      <c r="E72" s="3"/>
    </row>
    <row r="73" spans="2:5" s="5" customFormat="1" ht="15.75">
      <c r="B73" s="3"/>
      <c r="C73" s="3"/>
      <c r="D73" s="3"/>
      <c r="E73" s="3"/>
    </row>
    <row r="74" spans="2:5" s="5" customFormat="1" ht="15.75">
      <c r="B74" s="3"/>
      <c r="C74" s="3"/>
      <c r="D74" s="3"/>
      <c r="E74" s="3"/>
    </row>
    <row r="75" spans="2:5" s="5" customFormat="1" ht="15.75">
      <c r="B75" s="3"/>
      <c r="C75" s="3"/>
      <c r="D75" s="3"/>
      <c r="E75" s="3"/>
    </row>
    <row r="76" spans="2:5" s="5" customFormat="1" ht="15.75">
      <c r="B76" s="3"/>
      <c r="C76" s="3"/>
      <c r="D76" s="3"/>
      <c r="E76" s="3"/>
    </row>
    <row r="77" spans="2:5" s="5" customFormat="1" ht="15.75">
      <c r="B77" s="3"/>
      <c r="C77" s="3"/>
      <c r="D77" s="3"/>
      <c r="E77" s="3"/>
    </row>
    <row r="78" spans="2:5" s="5" customFormat="1" ht="15.75">
      <c r="B78" s="3"/>
      <c r="C78" s="3"/>
      <c r="D78" s="3"/>
      <c r="E78" s="3"/>
    </row>
    <row r="79" spans="2:5" s="5" customFormat="1" ht="15.75">
      <c r="B79" s="3"/>
      <c r="C79" s="3"/>
      <c r="D79" s="3"/>
      <c r="E79" s="3"/>
    </row>
    <row r="80" spans="2:5" s="5" customFormat="1" ht="15.75">
      <c r="B80" s="3"/>
      <c r="C80" s="3"/>
      <c r="D80" s="3"/>
      <c r="E80" s="3"/>
    </row>
    <row r="81" spans="2:5" s="5" customFormat="1" ht="15.75">
      <c r="B81" s="3"/>
      <c r="C81" s="3"/>
      <c r="D81" s="3"/>
      <c r="E81" s="3"/>
    </row>
    <row r="82" spans="2:5" s="5" customFormat="1" ht="15.75">
      <c r="B82" s="3"/>
      <c r="C82" s="3"/>
      <c r="D82" s="3"/>
      <c r="E82" s="3"/>
    </row>
    <row r="83" spans="2:5" s="5" customFormat="1" ht="15.75">
      <c r="B83" s="3"/>
      <c r="C83" s="3"/>
      <c r="D83" s="3"/>
      <c r="E83" s="3"/>
    </row>
    <row r="84" spans="2:5" s="5" customFormat="1" ht="15.75">
      <c r="B84" s="3"/>
      <c r="C84" s="3"/>
      <c r="D84" s="3"/>
      <c r="E84" s="3"/>
    </row>
    <row r="85" spans="2:5" s="5" customFormat="1" ht="15.75">
      <c r="B85" s="3"/>
      <c r="C85" s="3"/>
      <c r="D85" s="3"/>
      <c r="E85" s="3"/>
    </row>
    <row r="86" spans="2:5" s="5" customFormat="1" ht="15.75">
      <c r="B86" s="3"/>
      <c r="C86" s="3"/>
      <c r="D86" s="3"/>
      <c r="E86" s="3"/>
    </row>
    <row r="87" spans="2:5" s="5" customFormat="1" ht="15.75">
      <c r="B87" s="3"/>
      <c r="C87" s="3"/>
      <c r="D87" s="3"/>
      <c r="E87" s="3"/>
    </row>
    <row r="88" spans="2:5" s="5" customFormat="1" ht="15.75">
      <c r="B88" s="3"/>
      <c r="C88" s="3"/>
      <c r="D88" s="3"/>
      <c r="E88" s="3"/>
    </row>
    <row r="89" spans="2:5" s="5" customFormat="1" ht="15.75">
      <c r="B89" s="3"/>
      <c r="C89" s="3"/>
      <c r="D89" s="3"/>
      <c r="E89" s="3"/>
    </row>
    <row r="90" spans="2:5" s="5" customFormat="1" ht="15.75">
      <c r="B90" s="3"/>
      <c r="C90" s="3"/>
      <c r="D90" s="3"/>
      <c r="E90" s="3"/>
    </row>
    <row r="91" spans="2:5" s="5" customFormat="1" ht="15.75">
      <c r="B91" s="3"/>
      <c r="C91" s="3"/>
      <c r="D91" s="3"/>
      <c r="E91" s="3"/>
    </row>
    <row r="92" spans="2:5" s="5" customFormat="1" ht="15.75">
      <c r="B92" s="3"/>
      <c r="C92" s="3"/>
      <c r="D92" s="3"/>
      <c r="E92" s="3"/>
    </row>
    <row r="93" spans="2:5" s="5" customFormat="1" ht="15.75">
      <c r="B93" s="3"/>
      <c r="C93" s="3"/>
      <c r="D93" s="3"/>
      <c r="E93" s="3"/>
    </row>
    <row r="94" spans="2:5" s="5" customFormat="1" ht="15.75">
      <c r="B94" s="3"/>
      <c r="C94" s="3"/>
      <c r="D94" s="3"/>
      <c r="E94" s="3"/>
    </row>
    <row r="95" spans="2:5" s="5" customFormat="1" ht="15.75">
      <c r="B95" s="3"/>
      <c r="C95" s="3"/>
      <c r="D95" s="3"/>
      <c r="E95" s="3"/>
    </row>
    <row r="96" spans="2:5" s="5" customFormat="1" ht="15.75">
      <c r="B96" s="3"/>
      <c r="C96" s="3"/>
      <c r="D96" s="3"/>
      <c r="E96" s="3"/>
    </row>
    <row r="97" spans="2:5" s="5" customFormat="1" ht="15.75">
      <c r="B97" s="3"/>
      <c r="C97" s="3"/>
      <c r="D97" s="3"/>
      <c r="E97" s="3"/>
    </row>
    <row r="98" spans="2:5" s="5" customFormat="1" ht="15.75">
      <c r="B98" s="3"/>
      <c r="C98" s="3"/>
      <c r="D98" s="3"/>
      <c r="E98" s="3"/>
    </row>
    <row r="99" spans="2:5" s="5" customFormat="1" ht="15.75">
      <c r="B99" s="3"/>
      <c r="C99" s="3"/>
      <c r="D99" s="3"/>
      <c r="E99" s="3"/>
    </row>
    <row r="100" spans="2:5" s="5" customFormat="1" ht="15.75">
      <c r="B100" s="3"/>
      <c r="C100" s="3"/>
      <c r="D100" s="3"/>
      <c r="E100" s="3"/>
    </row>
    <row r="101" spans="2:5" s="5" customFormat="1" ht="15.75">
      <c r="B101" s="3"/>
      <c r="C101" s="3"/>
      <c r="D101" s="3"/>
      <c r="E101" s="3"/>
    </row>
    <row r="102" spans="2:5" s="5" customFormat="1" ht="15.75">
      <c r="B102" s="3"/>
      <c r="C102" s="3"/>
      <c r="D102" s="3"/>
      <c r="E102" s="3"/>
    </row>
    <row r="103" spans="2:5" s="5" customFormat="1" ht="15.75">
      <c r="B103" s="3"/>
      <c r="C103" s="3"/>
      <c r="D103" s="3"/>
      <c r="E103" s="3"/>
    </row>
    <row r="104" spans="2:5" s="5" customFormat="1" ht="15.75">
      <c r="B104" s="3"/>
      <c r="C104" s="3"/>
      <c r="D104" s="3"/>
      <c r="E104" s="3"/>
    </row>
    <row r="105" spans="2:5" s="5" customFormat="1" ht="15.75">
      <c r="B105" s="3"/>
      <c r="C105" s="3"/>
      <c r="D105" s="3"/>
      <c r="E105" s="3"/>
    </row>
    <row r="106" spans="2:5" s="5" customFormat="1" ht="15.75">
      <c r="B106" s="3"/>
      <c r="C106" s="3"/>
      <c r="D106" s="3"/>
      <c r="E106" s="3"/>
    </row>
    <row r="107" spans="2:5" s="5" customFormat="1" ht="15.75">
      <c r="B107" s="3"/>
      <c r="C107" s="3"/>
      <c r="D107" s="3"/>
      <c r="E107" s="3"/>
    </row>
    <row r="108" spans="2:5" s="5" customFormat="1" ht="15.75">
      <c r="B108" s="3"/>
      <c r="C108" s="3"/>
      <c r="D108" s="3"/>
      <c r="E108" s="3"/>
    </row>
    <row r="109" spans="2:5" s="5" customFormat="1" ht="15.75">
      <c r="B109" s="3"/>
      <c r="C109" s="3"/>
      <c r="D109" s="3"/>
      <c r="E109" s="3"/>
    </row>
    <row r="110" spans="2:5" s="5" customFormat="1" ht="15.75">
      <c r="B110" s="3"/>
      <c r="C110" s="3"/>
      <c r="D110" s="3"/>
      <c r="E110" s="3"/>
    </row>
    <row r="111" spans="2:5" s="5" customFormat="1" ht="15.75">
      <c r="B111" s="3"/>
      <c r="C111" s="3"/>
      <c r="D111" s="3"/>
      <c r="E111" s="3"/>
    </row>
    <row r="112" spans="2:5" s="5" customFormat="1" ht="15.75">
      <c r="B112" s="3"/>
      <c r="C112" s="3"/>
      <c r="D112" s="3"/>
      <c r="E112" s="3"/>
    </row>
    <row r="113" spans="2:5" s="5" customFormat="1" ht="15.75">
      <c r="B113" s="3"/>
      <c r="C113" s="3"/>
      <c r="D113" s="3"/>
      <c r="E113" s="3"/>
    </row>
    <row r="114" spans="2:5" s="5" customFormat="1" ht="15.75">
      <c r="B114" s="3"/>
      <c r="C114" s="3"/>
      <c r="D114" s="3"/>
      <c r="E114" s="3"/>
    </row>
    <row r="115" spans="2:5" s="5" customFormat="1" ht="15.75">
      <c r="B115" s="3"/>
      <c r="C115" s="3"/>
      <c r="D115" s="3"/>
      <c r="E115" s="3"/>
    </row>
    <row r="116" spans="2:5" s="5" customFormat="1" ht="15.75">
      <c r="B116" s="3"/>
      <c r="C116" s="3"/>
      <c r="D116" s="3"/>
      <c r="E116" s="3"/>
    </row>
    <row r="117" spans="2:5" s="5" customFormat="1" ht="15.75">
      <c r="B117" s="3"/>
      <c r="C117" s="3"/>
      <c r="D117" s="3"/>
      <c r="E117" s="3"/>
    </row>
    <row r="118" spans="2:5" s="5" customFormat="1" ht="15.75">
      <c r="B118" s="3"/>
      <c r="C118" s="3"/>
      <c r="D118" s="3"/>
      <c r="E118" s="3"/>
    </row>
    <row r="119" spans="2:5" s="5" customFormat="1" ht="15.75">
      <c r="B119" s="3"/>
      <c r="C119" s="3"/>
      <c r="D119" s="3"/>
      <c r="E119" s="3"/>
    </row>
    <row r="120" spans="2:5" s="5" customFormat="1" ht="15.75">
      <c r="B120" s="3"/>
      <c r="C120" s="3"/>
      <c r="D120" s="3"/>
      <c r="E120" s="3"/>
    </row>
    <row r="121" spans="2:5" s="5" customFormat="1" ht="15.75">
      <c r="B121" s="3"/>
      <c r="C121" s="3"/>
      <c r="D121" s="3"/>
      <c r="E121" s="3"/>
    </row>
    <row r="122" spans="2:5" s="5" customFormat="1" ht="15.75">
      <c r="B122" s="3"/>
      <c r="C122" s="3"/>
      <c r="D122" s="3"/>
      <c r="E122" s="3"/>
    </row>
    <row r="123" spans="2:5" s="5" customFormat="1" ht="15.75">
      <c r="B123" s="3"/>
      <c r="C123" s="3"/>
      <c r="D123" s="3"/>
      <c r="E123" s="3"/>
    </row>
    <row r="124" spans="2:5" s="5" customFormat="1" ht="15.75">
      <c r="B124" s="3"/>
      <c r="C124" s="3"/>
      <c r="D124" s="3"/>
      <c r="E124" s="3"/>
    </row>
    <row r="125" spans="2:5" s="5" customFormat="1" ht="15.75">
      <c r="B125" s="3"/>
      <c r="C125" s="3"/>
      <c r="D125" s="3"/>
      <c r="E125" s="3"/>
    </row>
    <row r="126" spans="2:5" s="5" customFormat="1" ht="15.75">
      <c r="B126" s="3"/>
      <c r="C126" s="3"/>
      <c r="D126" s="3"/>
      <c r="E126" s="3"/>
    </row>
    <row r="127" spans="2:5" s="5" customFormat="1" ht="15.75">
      <c r="B127" s="3"/>
      <c r="C127" s="3"/>
      <c r="D127" s="3"/>
      <c r="E127" s="3"/>
    </row>
    <row r="128" spans="2:5" s="5" customFormat="1" ht="15.75">
      <c r="B128" s="3"/>
      <c r="C128" s="3"/>
      <c r="D128" s="3"/>
      <c r="E128" s="3"/>
    </row>
    <row r="129" spans="2:5" s="5" customFormat="1" ht="15.75">
      <c r="B129" s="3"/>
      <c r="C129" s="3"/>
      <c r="D129" s="3"/>
      <c r="E129" s="3"/>
    </row>
    <row r="130" spans="2:5" s="5" customFormat="1" ht="15.75">
      <c r="B130" s="3"/>
      <c r="C130" s="3"/>
      <c r="D130" s="3"/>
      <c r="E130" s="3"/>
    </row>
    <row r="131" spans="2:5" s="5" customFormat="1" ht="15.75">
      <c r="B131" s="3"/>
      <c r="C131" s="3"/>
      <c r="D131" s="3"/>
      <c r="E131" s="3"/>
    </row>
    <row r="132" spans="2:5" s="5" customFormat="1" ht="15.75">
      <c r="B132" s="3"/>
      <c r="C132" s="3"/>
      <c r="D132" s="3"/>
      <c r="E132" s="3"/>
    </row>
    <row r="133" spans="2:5" s="5" customFormat="1" ht="15.75">
      <c r="B133" s="3"/>
      <c r="C133" s="3"/>
      <c r="D133" s="3"/>
      <c r="E133" s="3"/>
    </row>
    <row r="134" spans="2:5" s="5" customFormat="1" ht="15.75">
      <c r="B134" s="3"/>
      <c r="C134" s="3"/>
      <c r="D134" s="3"/>
      <c r="E134" s="3"/>
    </row>
    <row r="135" spans="2:5" s="5" customFormat="1" ht="15.75">
      <c r="B135" s="3"/>
      <c r="C135" s="3"/>
      <c r="D135" s="3"/>
      <c r="E135" s="3"/>
    </row>
    <row r="136" spans="2:5" s="5" customFormat="1" ht="15.75">
      <c r="B136" s="3"/>
      <c r="C136" s="3"/>
      <c r="D136" s="3"/>
      <c r="E136" s="3"/>
    </row>
    <row r="137" spans="2:5" s="5" customFormat="1" ht="15.75">
      <c r="B137" s="3"/>
      <c r="C137" s="3"/>
      <c r="D137" s="3"/>
      <c r="E137" s="3"/>
    </row>
    <row r="138" spans="2:5" s="5" customFormat="1" ht="15.75">
      <c r="B138" s="3"/>
      <c r="C138" s="3"/>
      <c r="D138" s="3"/>
      <c r="E138" s="3"/>
    </row>
    <row r="139" spans="2:5" s="5" customFormat="1" ht="15.75">
      <c r="B139" s="3"/>
      <c r="C139" s="3"/>
      <c r="D139" s="3"/>
      <c r="E139" s="3"/>
    </row>
    <row r="140" spans="2:5" s="5" customFormat="1" ht="15.75">
      <c r="B140" s="3"/>
      <c r="C140" s="3"/>
      <c r="D140" s="3"/>
      <c r="E140" s="3"/>
    </row>
    <row r="141" spans="2:5" s="5" customFormat="1" ht="15.75">
      <c r="B141" s="3"/>
      <c r="C141" s="3"/>
      <c r="D141" s="3"/>
      <c r="E141" s="3"/>
    </row>
    <row r="142" spans="2:5" s="5" customFormat="1" ht="15.75">
      <c r="B142" s="3"/>
      <c r="C142" s="3"/>
      <c r="D142" s="3"/>
      <c r="E142" s="3"/>
    </row>
    <row r="143" spans="2:5" s="5" customFormat="1" ht="15.75">
      <c r="B143" s="3"/>
      <c r="C143" s="3"/>
      <c r="D143" s="3"/>
      <c r="E143" s="3"/>
    </row>
    <row r="144" spans="2:5" s="5" customFormat="1" ht="15.75">
      <c r="B144" s="3"/>
      <c r="C144" s="3"/>
      <c r="D144" s="3"/>
      <c r="E144" s="3"/>
    </row>
    <row r="145" spans="2:5" s="5" customFormat="1" ht="15.75">
      <c r="B145" s="3"/>
      <c r="C145" s="3"/>
      <c r="D145" s="3"/>
      <c r="E145" s="3"/>
    </row>
    <row r="146" spans="2:5" s="5" customFormat="1" ht="15.75">
      <c r="B146" s="3"/>
      <c r="C146" s="3"/>
      <c r="D146" s="3"/>
      <c r="E146" s="3"/>
    </row>
    <row r="147" spans="2:5" s="5" customFormat="1" ht="15.75">
      <c r="B147" s="3"/>
      <c r="C147" s="3"/>
      <c r="D147" s="3"/>
      <c r="E147" s="3"/>
    </row>
    <row r="148" spans="2:5" s="5" customFormat="1" ht="15.75">
      <c r="B148" s="3"/>
      <c r="C148" s="3"/>
      <c r="D148" s="3"/>
      <c r="E148" s="3"/>
    </row>
    <row r="149" spans="2:5" s="5" customFormat="1" ht="15.75">
      <c r="B149" s="3"/>
      <c r="C149" s="3"/>
      <c r="D149" s="3"/>
      <c r="E149" s="3"/>
    </row>
    <row r="150" spans="2:5" s="5" customFormat="1" ht="15.75">
      <c r="B150" s="3"/>
      <c r="C150" s="3"/>
      <c r="D150" s="3"/>
      <c r="E150" s="3"/>
    </row>
    <row r="151" spans="2:5" s="5" customFormat="1" ht="15.75">
      <c r="B151" s="3"/>
      <c r="C151" s="3"/>
      <c r="D151" s="3"/>
      <c r="E151" s="3"/>
    </row>
    <row r="152" spans="2:5" s="5" customFormat="1" ht="15.75">
      <c r="B152" s="3"/>
      <c r="C152" s="3"/>
      <c r="D152" s="3"/>
      <c r="E152" s="3"/>
    </row>
    <row r="153" spans="2:5" s="5" customFormat="1" ht="15.75">
      <c r="B153" s="3"/>
      <c r="C153" s="3"/>
      <c r="D153" s="3"/>
      <c r="E153" s="3"/>
    </row>
    <row r="154" spans="2:5" s="5" customFormat="1" ht="15.75">
      <c r="B154" s="3"/>
      <c r="C154" s="3"/>
      <c r="D154" s="3"/>
      <c r="E154" s="3"/>
    </row>
    <row r="155" spans="2:5" s="5" customFormat="1" ht="15.75">
      <c r="B155" s="3"/>
      <c r="C155" s="3"/>
      <c r="D155" s="3"/>
      <c r="E155" s="3"/>
    </row>
    <row r="156" spans="2:5" s="5" customFormat="1" ht="15.75">
      <c r="B156" s="3"/>
      <c r="C156" s="3"/>
      <c r="D156" s="3"/>
      <c r="E156" s="3"/>
    </row>
    <row r="157" spans="2:5" s="5" customFormat="1" ht="15.75">
      <c r="B157" s="3"/>
      <c r="C157" s="3"/>
      <c r="D157" s="3"/>
      <c r="E157" s="3"/>
    </row>
    <row r="158" spans="2:5" s="5" customFormat="1" ht="15.75">
      <c r="B158" s="3"/>
      <c r="C158" s="3"/>
      <c r="D158" s="3"/>
      <c r="E158" s="3"/>
    </row>
    <row r="159" spans="2:5" s="5" customFormat="1" ht="15.75">
      <c r="B159" s="3"/>
      <c r="C159" s="3"/>
      <c r="D159" s="3"/>
      <c r="E159" s="3"/>
    </row>
    <row r="160" spans="2:5" s="5" customFormat="1" ht="15.75">
      <c r="B160" s="3"/>
      <c r="C160" s="3"/>
      <c r="D160" s="3"/>
      <c r="E160" s="3"/>
    </row>
    <row r="161" spans="2:5" s="5" customFormat="1" ht="15.75">
      <c r="B161" s="3"/>
      <c r="C161" s="3"/>
      <c r="D161" s="3"/>
      <c r="E161" s="3"/>
    </row>
    <row r="162" spans="2:5" s="5" customFormat="1" ht="15.75">
      <c r="B162" s="3"/>
      <c r="C162" s="3"/>
      <c r="D162" s="3"/>
      <c r="E162" s="3"/>
    </row>
    <row r="163" spans="2:5" s="5" customFormat="1" ht="15.75">
      <c r="B163" s="3"/>
      <c r="C163" s="3"/>
      <c r="D163" s="3"/>
      <c r="E163" s="3"/>
    </row>
    <row r="164" spans="2:5" s="5" customFormat="1" ht="15.75">
      <c r="B164" s="3"/>
      <c r="C164" s="3"/>
      <c r="D164" s="3"/>
      <c r="E164" s="3"/>
    </row>
    <row r="165" spans="2:5" s="5" customFormat="1" ht="15.75">
      <c r="B165" s="3"/>
      <c r="C165" s="3"/>
      <c r="D165" s="3"/>
      <c r="E165" s="3"/>
    </row>
    <row r="166" spans="2:5" s="5" customFormat="1" ht="15.75">
      <c r="B166" s="3"/>
      <c r="C166" s="3"/>
      <c r="D166" s="3"/>
      <c r="E166" s="3"/>
    </row>
    <row r="167" spans="2:5" s="5" customFormat="1" ht="15.75">
      <c r="B167" s="3"/>
      <c r="C167" s="3"/>
      <c r="D167" s="3"/>
      <c r="E167" s="3"/>
    </row>
    <row r="168" spans="2:5" s="5" customFormat="1" ht="15.75">
      <c r="B168" s="3"/>
      <c r="C168" s="3"/>
      <c r="D168" s="3"/>
      <c r="E168" s="3"/>
    </row>
    <row r="169" spans="2:5" s="5" customFormat="1" ht="15.75">
      <c r="B169" s="3"/>
      <c r="C169" s="3"/>
      <c r="D169" s="3"/>
      <c r="E169" s="3"/>
    </row>
    <row r="170" spans="2:5" s="5" customFormat="1" ht="15.75">
      <c r="B170" s="3"/>
      <c r="C170" s="3"/>
      <c r="D170" s="3"/>
      <c r="E170" s="3"/>
    </row>
    <row r="171" spans="2:5" s="5" customFormat="1" ht="15.75">
      <c r="B171" s="3"/>
      <c r="C171" s="3"/>
      <c r="D171" s="3"/>
      <c r="E171" s="3"/>
    </row>
    <row r="172" spans="2:5" s="5" customFormat="1" ht="15.75">
      <c r="B172" s="3"/>
      <c r="C172" s="3"/>
      <c r="D172" s="3"/>
      <c r="E172" s="3"/>
    </row>
    <row r="173" spans="2:5" s="5" customFormat="1" ht="15.75">
      <c r="B173" s="3"/>
      <c r="C173" s="3"/>
      <c r="D173" s="3"/>
      <c r="E173" s="3"/>
    </row>
    <row r="174" spans="2:5" s="5" customFormat="1" ht="15.75">
      <c r="B174" s="3"/>
      <c r="C174" s="3"/>
      <c r="D174" s="3"/>
      <c r="E174" s="3"/>
    </row>
    <row r="175" spans="2:5" s="5" customFormat="1" ht="15.75">
      <c r="B175" s="3"/>
      <c r="C175" s="3"/>
      <c r="D175" s="3"/>
      <c r="E175" s="3"/>
    </row>
    <row r="176" spans="2:5" s="5" customFormat="1" ht="15.75">
      <c r="B176" s="3"/>
      <c r="C176" s="3"/>
      <c r="D176" s="3"/>
      <c r="E176" s="3"/>
    </row>
    <row r="177" spans="2:5" s="5" customFormat="1" ht="15.75">
      <c r="B177" s="3"/>
      <c r="C177" s="3"/>
      <c r="D177" s="3"/>
      <c r="E177" s="3"/>
    </row>
    <row r="178" spans="2:5" s="5" customFormat="1" ht="15.75">
      <c r="B178" s="3"/>
      <c r="C178" s="3"/>
      <c r="D178" s="3"/>
      <c r="E178" s="3"/>
    </row>
    <row r="179" spans="2:5" s="5" customFormat="1" ht="15.75">
      <c r="B179" s="3"/>
      <c r="C179" s="3"/>
      <c r="D179" s="3"/>
      <c r="E179" s="3"/>
    </row>
    <row r="180" spans="2:5" s="5" customFormat="1" ht="15.75">
      <c r="B180" s="3"/>
      <c r="C180" s="3"/>
      <c r="D180" s="3"/>
      <c r="E180" s="3"/>
    </row>
    <row r="181" spans="2:5" s="5" customFormat="1" ht="15.75">
      <c r="B181" s="3"/>
      <c r="C181" s="3"/>
      <c r="D181" s="3"/>
      <c r="E181" s="3"/>
    </row>
    <row r="182" spans="2:5" s="5" customFormat="1" ht="15.75">
      <c r="B182" s="3"/>
      <c r="C182" s="3"/>
      <c r="D182" s="3"/>
      <c r="E182" s="3"/>
    </row>
    <row r="183" spans="2:5" s="5" customFormat="1" ht="15.75">
      <c r="B183" s="3"/>
      <c r="C183" s="3"/>
      <c r="D183" s="3"/>
      <c r="E183" s="3"/>
    </row>
    <row r="184" spans="2:5" s="5" customFormat="1" ht="15.75">
      <c r="B184" s="3"/>
      <c r="C184" s="3"/>
      <c r="D184" s="3"/>
      <c r="E184" s="3"/>
    </row>
    <row r="185" spans="2:5" s="5" customFormat="1" ht="15.75">
      <c r="B185" s="3"/>
      <c r="C185" s="3"/>
      <c r="D185" s="3"/>
      <c r="E185" s="3"/>
    </row>
    <row r="186" spans="2:5" s="5" customFormat="1" ht="15.75">
      <c r="B186" s="3"/>
      <c r="C186" s="3"/>
      <c r="D186" s="3"/>
      <c r="E186" s="3"/>
    </row>
    <row r="187" spans="2:5" s="5" customFormat="1" ht="15.75">
      <c r="B187" s="3"/>
      <c r="C187" s="3"/>
      <c r="D187" s="3"/>
      <c r="E187" s="3"/>
    </row>
    <row r="188" spans="2:5" s="5" customFormat="1" ht="15.75">
      <c r="B188" s="3"/>
      <c r="C188" s="3"/>
      <c r="D188" s="3"/>
      <c r="E188" s="3"/>
    </row>
    <row r="189" spans="2:5" s="5" customFormat="1" ht="15.75">
      <c r="B189" s="3"/>
      <c r="C189" s="3"/>
      <c r="D189" s="3"/>
      <c r="E189" s="3"/>
    </row>
    <row r="190" spans="2:5" s="5" customFormat="1" ht="15.75">
      <c r="B190" s="3"/>
      <c r="C190" s="3"/>
      <c r="D190" s="3"/>
      <c r="E190" s="3"/>
    </row>
    <row r="191" spans="2:5" s="5" customFormat="1" ht="15.75">
      <c r="B191" s="3"/>
      <c r="C191" s="3"/>
      <c r="D191" s="3"/>
      <c r="E191" s="3"/>
    </row>
    <row r="192" spans="2:5" s="5" customFormat="1" ht="15.75">
      <c r="B192" s="3"/>
      <c r="C192" s="3"/>
      <c r="D192" s="3"/>
      <c r="E192" s="3"/>
    </row>
    <row r="193" spans="2:5" s="5" customFormat="1" ht="15.75">
      <c r="B193" s="3"/>
      <c r="C193" s="3"/>
      <c r="D193" s="3"/>
      <c r="E193" s="3"/>
    </row>
    <row r="194" spans="2:5" s="5" customFormat="1" ht="15.75">
      <c r="B194" s="3"/>
      <c r="C194" s="3"/>
      <c r="D194" s="3"/>
      <c r="E194" s="3"/>
    </row>
    <row r="195" spans="2:5" s="5" customFormat="1" ht="15.75">
      <c r="B195" s="3"/>
      <c r="C195" s="3"/>
      <c r="D195" s="3"/>
      <c r="E195" s="3"/>
    </row>
    <row r="196" spans="2:5" s="5" customFormat="1" ht="15.75">
      <c r="B196" s="3"/>
      <c r="C196" s="3"/>
      <c r="D196" s="3"/>
      <c r="E196" s="3"/>
    </row>
    <row r="197" spans="2:5" s="5" customFormat="1" ht="15.75">
      <c r="B197" s="3"/>
      <c r="C197" s="3"/>
      <c r="D197" s="3"/>
      <c r="E197" s="3"/>
    </row>
    <row r="198" spans="2:5" s="5" customFormat="1" ht="15.75">
      <c r="B198" s="3"/>
      <c r="C198" s="3"/>
      <c r="D198" s="3"/>
      <c r="E198" s="3"/>
    </row>
    <row r="199" spans="2:5" s="5" customFormat="1" ht="15.75">
      <c r="B199" s="3"/>
      <c r="C199" s="3"/>
      <c r="D199" s="3"/>
      <c r="E199" s="3"/>
    </row>
    <row r="200" spans="2:5" s="5" customFormat="1" ht="15.75">
      <c r="B200" s="3"/>
      <c r="C200" s="3"/>
      <c r="D200" s="3"/>
      <c r="E200" s="3"/>
    </row>
    <row r="201" spans="2:5" s="5" customFormat="1" ht="15.75">
      <c r="B201" s="3"/>
      <c r="C201" s="3"/>
      <c r="D201" s="3"/>
      <c r="E201" s="3"/>
    </row>
    <row r="202" spans="2:5" s="5" customFormat="1" ht="15.75">
      <c r="B202" s="3"/>
      <c r="C202" s="3"/>
      <c r="D202" s="3"/>
      <c r="E202" s="3"/>
    </row>
    <row r="203" spans="2:5" s="5" customFormat="1" ht="15.75">
      <c r="B203" s="3"/>
      <c r="C203" s="3"/>
      <c r="D203" s="3"/>
      <c r="E203" s="3"/>
    </row>
    <row r="204" spans="2:5" s="5" customFormat="1" ht="15.75">
      <c r="B204" s="3"/>
      <c r="C204" s="3"/>
      <c r="D204" s="3"/>
      <c r="E204" s="3"/>
    </row>
    <row r="205" spans="2:5" s="5" customFormat="1" ht="15.75">
      <c r="B205" s="3"/>
      <c r="C205" s="3"/>
      <c r="D205" s="3"/>
      <c r="E205" s="3"/>
    </row>
    <row r="206" spans="2:5" s="5" customFormat="1" ht="15.75">
      <c r="B206" s="3"/>
      <c r="C206" s="3"/>
      <c r="D206" s="3"/>
      <c r="E206" s="3"/>
    </row>
    <row r="207" spans="2:5" s="5" customFormat="1" ht="15.75">
      <c r="B207" s="3"/>
      <c r="C207" s="3"/>
      <c r="D207" s="3"/>
      <c r="E207" s="3"/>
    </row>
    <row r="208" spans="2:5" s="5" customFormat="1" ht="15.75">
      <c r="B208" s="3"/>
      <c r="C208" s="3"/>
      <c r="D208" s="3"/>
      <c r="E208" s="3"/>
    </row>
    <row r="209" spans="2:5" s="5" customFormat="1" ht="15.75">
      <c r="B209" s="3"/>
      <c r="C209" s="3"/>
      <c r="D209" s="3"/>
      <c r="E209" s="3"/>
    </row>
    <row r="210" spans="2:5" s="5" customFormat="1" ht="15.75">
      <c r="B210" s="3"/>
      <c r="C210" s="3"/>
      <c r="D210" s="3"/>
      <c r="E210" s="3"/>
    </row>
  </sheetData>
  <sheetProtection selectLockedCells="1" selectUnlockedCells="1"/>
  <mergeCells count="6">
    <mergeCell ref="A1:E1"/>
    <mergeCell ref="A3:A4"/>
    <mergeCell ref="B3:B4"/>
    <mergeCell ref="C3:C4"/>
    <mergeCell ref="D3:D4"/>
    <mergeCell ref="E3:E4"/>
  </mergeCells>
  <printOptions/>
  <pageMargins left="0.8701388888888889" right="0.5902777777777778" top="0.55" bottom="0.39305555555555555" header="0.5118055555555555" footer="0.19652777777777777"/>
  <pageSetup firstPageNumber="3" useFirstPageNumber="1" fitToHeight="0" fitToWidth="1" horizontalDpi="300" verticalDpi="300" orientation="portrait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8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8.875" defaultRowHeight="12.75"/>
  <cols>
    <col min="1" max="1" width="61.625" style="31" customWidth="1"/>
    <col min="2" max="2" width="8.00390625" style="31" customWidth="1"/>
    <col min="3" max="3" width="8.625" style="31" customWidth="1"/>
    <col min="4" max="4" width="16.625" style="32" customWidth="1"/>
    <col min="5" max="5" width="7.625" style="32" customWidth="1"/>
    <col min="6" max="6" width="21.75390625" style="32" customWidth="1"/>
    <col min="7" max="8" width="21.125" style="32" customWidth="1"/>
    <col min="9" max="9" width="19.00390625" style="33" customWidth="1"/>
    <col min="10" max="10" width="16.625" style="34" customWidth="1"/>
    <col min="11" max="16384" width="8.875" style="34" customWidth="1"/>
  </cols>
  <sheetData>
    <row r="1" spans="1:8" ht="61.5" customHeight="1">
      <c r="A1" s="35"/>
      <c r="B1" s="35"/>
      <c r="C1" s="35"/>
      <c r="D1" s="36"/>
      <c r="E1" s="36"/>
      <c r="F1" s="138" t="s">
        <v>94</v>
      </c>
      <c r="G1" s="138"/>
      <c r="H1" s="138"/>
    </row>
    <row r="2" spans="1:8" ht="15.75" customHeight="1">
      <c r="A2" s="35"/>
      <c r="B2" s="35"/>
      <c r="C2" s="35"/>
      <c r="D2" s="36"/>
      <c r="E2" s="36"/>
      <c r="F2" s="138" t="s">
        <v>770</v>
      </c>
      <c r="G2" s="138"/>
      <c r="H2" s="138"/>
    </row>
    <row r="3" spans="1:8" ht="15.75">
      <c r="A3" s="35"/>
      <c r="B3" s="35"/>
      <c r="C3" s="35"/>
      <c r="D3" s="37"/>
      <c r="E3" s="37"/>
      <c r="F3" s="37"/>
      <c r="G3" s="37"/>
      <c r="H3" s="37"/>
    </row>
    <row r="4" spans="1:8" ht="21" customHeight="1">
      <c r="A4" s="139" t="s">
        <v>95</v>
      </c>
      <c r="B4" s="139"/>
      <c r="C4" s="139"/>
      <c r="D4" s="139"/>
      <c r="E4" s="139"/>
      <c r="F4" s="139"/>
      <c r="G4" s="139"/>
      <c r="H4" s="139"/>
    </row>
    <row r="5" spans="1:8" ht="21.75" customHeight="1">
      <c r="A5" s="38"/>
      <c r="B5" s="39"/>
      <c r="C5" s="39"/>
      <c r="D5" s="38"/>
      <c r="E5" s="38"/>
      <c r="F5" s="38"/>
      <c r="G5" s="38"/>
      <c r="H5" s="40" t="s">
        <v>96</v>
      </c>
    </row>
    <row r="6" spans="1:9" s="45" customFormat="1" ht="42.75">
      <c r="A6" s="41" t="s">
        <v>97</v>
      </c>
      <c r="B6" s="42" t="s">
        <v>98</v>
      </c>
      <c r="C6" s="43" t="s">
        <v>99</v>
      </c>
      <c r="D6" s="43" t="s">
        <v>100</v>
      </c>
      <c r="E6" s="43" t="s">
        <v>101</v>
      </c>
      <c r="F6" s="44" t="s">
        <v>102</v>
      </c>
      <c r="G6" s="44" t="s">
        <v>4</v>
      </c>
      <c r="H6" s="44" t="s">
        <v>5</v>
      </c>
      <c r="I6" s="33"/>
    </row>
    <row r="7" spans="1:9" s="51" customFormat="1" ht="33">
      <c r="A7" s="46" t="s">
        <v>103</v>
      </c>
      <c r="B7" s="47" t="s">
        <v>104</v>
      </c>
      <c r="C7" s="48"/>
      <c r="D7" s="48"/>
      <c r="E7" s="48"/>
      <c r="F7" s="49">
        <f>SUM(F8,F138,F160,F269,F421,F431,F438,F467,F480,F487)</f>
        <v>2354259315.2299995</v>
      </c>
      <c r="G7" s="49">
        <f>SUM(G8,G138,G160,G269,G421,G431,G438,G467,G480,G487)</f>
        <v>229070015.5</v>
      </c>
      <c r="H7" s="49">
        <f aca="true" t="shared" si="0" ref="H7:H44">SUM(F7:G7)</f>
        <v>2583329330.7299995</v>
      </c>
      <c r="I7" s="50"/>
    </row>
    <row r="8" spans="1:9" s="45" customFormat="1" ht="15.75">
      <c r="A8" s="52" t="s">
        <v>105</v>
      </c>
      <c r="B8" s="53" t="s">
        <v>104</v>
      </c>
      <c r="C8" s="53" t="s">
        <v>106</v>
      </c>
      <c r="D8" s="53"/>
      <c r="E8" s="53"/>
      <c r="F8" s="54">
        <f>SUM(F9,F42,F30,F36)</f>
        <v>288398625</v>
      </c>
      <c r="G8" s="54">
        <f>SUM(G9,G42,G30,G36)</f>
        <v>24981514.15</v>
      </c>
      <c r="H8" s="54">
        <f t="shared" si="0"/>
        <v>313380139.15</v>
      </c>
      <c r="I8" s="33"/>
    </row>
    <row r="9" spans="1:9" s="45" customFormat="1" ht="63">
      <c r="A9" s="55" t="s">
        <v>107</v>
      </c>
      <c r="B9" s="56" t="s">
        <v>104</v>
      </c>
      <c r="C9" s="57" t="s">
        <v>108</v>
      </c>
      <c r="D9" s="57"/>
      <c r="E9" s="57"/>
      <c r="F9" s="58">
        <f>F10</f>
        <v>186424102</v>
      </c>
      <c r="G9" s="58">
        <f>G10</f>
        <v>2140508</v>
      </c>
      <c r="H9" s="58">
        <f t="shared" si="0"/>
        <v>188564610</v>
      </c>
      <c r="I9" s="59"/>
    </row>
    <row r="10" spans="1:9" s="45" customFormat="1" ht="15.75">
      <c r="A10" s="60" t="s">
        <v>109</v>
      </c>
      <c r="B10" s="61" t="s">
        <v>104</v>
      </c>
      <c r="C10" s="62" t="s">
        <v>108</v>
      </c>
      <c r="D10" s="63" t="s">
        <v>110</v>
      </c>
      <c r="E10" s="57"/>
      <c r="F10" s="64">
        <f>SUM(F11)</f>
        <v>186424102</v>
      </c>
      <c r="G10" s="64">
        <f>SUM(G11)</f>
        <v>2140508</v>
      </c>
      <c r="H10" s="64">
        <f t="shared" si="0"/>
        <v>188564610</v>
      </c>
      <c r="I10" s="33"/>
    </row>
    <row r="11" spans="1:8" s="33" customFormat="1" ht="25.5" customHeight="1">
      <c r="A11" s="65" t="s">
        <v>111</v>
      </c>
      <c r="B11" s="61" t="s">
        <v>104</v>
      </c>
      <c r="C11" s="62" t="s">
        <v>108</v>
      </c>
      <c r="D11" s="63" t="s">
        <v>112</v>
      </c>
      <c r="E11" s="63"/>
      <c r="F11" s="66">
        <f>SUM(F15,F18,F23,F12)</f>
        <v>186424102</v>
      </c>
      <c r="G11" s="66">
        <f>SUM(G15,G18,G23,G12)</f>
        <v>2140508</v>
      </c>
      <c r="H11" s="64">
        <f t="shared" si="0"/>
        <v>188564610</v>
      </c>
    </row>
    <row r="12" spans="1:8" s="33" customFormat="1" ht="47.25">
      <c r="A12" s="65" t="s">
        <v>113</v>
      </c>
      <c r="B12" s="61" t="s">
        <v>104</v>
      </c>
      <c r="C12" s="62" t="s">
        <v>108</v>
      </c>
      <c r="D12" s="63" t="s">
        <v>114</v>
      </c>
      <c r="E12" s="63"/>
      <c r="F12" s="66">
        <f>F13</f>
        <v>0</v>
      </c>
      <c r="G12" s="66">
        <f>G13</f>
        <v>2140508</v>
      </c>
      <c r="H12" s="64">
        <f t="shared" si="0"/>
        <v>2140508</v>
      </c>
    </row>
    <row r="13" spans="1:8" s="33" customFormat="1" ht="68.25" customHeight="1">
      <c r="A13" s="67" t="s">
        <v>115</v>
      </c>
      <c r="B13" s="61" t="s">
        <v>104</v>
      </c>
      <c r="C13" s="62" t="s">
        <v>108</v>
      </c>
      <c r="D13" s="63" t="s">
        <v>114</v>
      </c>
      <c r="E13" s="62" t="s">
        <v>116</v>
      </c>
      <c r="F13" s="66">
        <f>F14</f>
        <v>0</v>
      </c>
      <c r="G13" s="66">
        <f>G14</f>
        <v>2140508</v>
      </c>
      <c r="H13" s="64">
        <f t="shared" si="0"/>
        <v>2140508</v>
      </c>
    </row>
    <row r="14" spans="1:8" s="33" customFormat="1" ht="31.5">
      <c r="A14" s="67" t="s">
        <v>117</v>
      </c>
      <c r="B14" s="61" t="s">
        <v>104</v>
      </c>
      <c r="C14" s="62" t="s">
        <v>108</v>
      </c>
      <c r="D14" s="63" t="s">
        <v>114</v>
      </c>
      <c r="E14" s="62" t="s">
        <v>118</v>
      </c>
      <c r="F14" s="66">
        <v>0</v>
      </c>
      <c r="G14" s="66">
        <v>2140508</v>
      </c>
      <c r="H14" s="64">
        <f t="shared" si="0"/>
        <v>2140508</v>
      </c>
    </row>
    <row r="15" spans="1:8" s="33" customFormat="1" ht="15.75">
      <c r="A15" s="68" t="s">
        <v>119</v>
      </c>
      <c r="B15" s="61" t="s">
        <v>104</v>
      </c>
      <c r="C15" s="62" t="s">
        <v>108</v>
      </c>
      <c r="D15" s="63" t="s">
        <v>120</v>
      </c>
      <c r="E15" s="62"/>
      <c r="F15" s="66">
        <f>F16</f>
        <v>425278</v>
      </c>
      <c r="G15" s="66">
        <f>G16</f>
        <v>0</v>
      </c>
      <c r="H15" s="64">
        <f t="shared" si="0"/>
        <v>425278</v>
      </c>
    </row>
    <row r="16" spans="1:8" s="33" customFormat="1" ht="31.5">
      <c r="A16" s="68" t="s">
        <v>121</v>
      </c>
      <c r="B16" s="61" t="s">
        <v>104</v>
      </c>
      <c r="C16" s="62" t="s">
        <v>108</v>
      </c>
      <c r="D16" s="63" t="s">
        <v>120</v>
      </c>
      <c r="E16" s="62" t="s">
        <v>122</v>
      </c>
      <c r="F16" s="69">
        <f>F17</f>
        <v>425278</v>
      </c>
      <c r="G16" s="69">
        <f>G17</f>
        <v>0</v>
      </c>
      <c r="H16" s="64">
        <f t="shared" si="0"/>
        <v>425278</v>
      </c>
    </row>
    <row r="17" spans="1:8" s="33" customFormat="1" ht="31.5">
      <c r="A17" s="68" t="s">
        <v>123</v>
      </c>
      <c r="B17" s="61" t="s">
        <v>104</v>
      </c>
      <c r="C17" s="62" t="s">
        <v>108</v>
      </c>
      <c r="D17" s="63" t="s">
        <v>120</v>
      </c>
      <c r="E17" s="62" t="s">
        <v>124</v>
      </c>
      <c r="F17" s="69">
        <v>425278</v>
      </c>
      <c r="G17" s="69">
        <v>0</v>
      </c>
      <c r="H17" s="64">
        <f t="shared" si="0"/>
        <v>425278</v>
      </c>
    </row>
    <row r="18" spans="1:8" s="33" customFormat="1" ht="31.5">
      <c r="A18" s="68" t="s">
        <v>125</v>
      </c>
      <c r="B18" s="61" t="s">
        <v>104</v>
      </c>
      <c r="C18" s="62" t="s">
        <v>108</v>
      </c>
      <c r="D18" s="63" t="s">
        <v>126</v>
      </c>
      <c r="E18" s="62"/>
      <c r="F18" s="69">
        <f>SUM(F19,F21)</f>
        <v>6332157</v>
      </c>
      <c r="G18" s="69">
        <f>SUM(G19,G21)</f>
        <v>0</v>
      </c>
      <c r="H18" s="64">
        <f t="shared" si="0"/>
        <v>6332157</v>
      </c>
    </row>
    <row r="19" spans="1:8" s="33" customFormat="1" ht="68.25" customHeight="1">
      <c r="A19" s="67" t="s">
        <v>115</v>
      </c>
      <c r="B19" s="61" t="s">
        <v>104</v>
      </c>
      <c r="C19" s="62" t="s">
        <v>108</v>
      </c>
      <c r="D19" s="63" t="s">
        <v>126</v>
      </c>
      <c r="E19" s="62" t="s">
        <v>116</v>
      </c>
      <c r="F19" s="69">
        <f>F20</f>
        <v>5797000</v>
      </c>
      <c r="G19" s="69">
        <f>G20</f>
        <v>0</v>
      </c>
      <c r="H19" s="64">
        <f t="shared" si="0"/>
        <v>5797000</v>
      </c>
    </row>
    <row r="20" spans="1:8" ht="31.5">
      <c r="A20" s="67" t="s">
        <v>117</v>
      </c>
      <c r="B20" s="61" t="s">
        <v>104</v>
      </c>
      <c r="C20" s="62" t="s">
        <v>108</v>
      </c>
      <c r="D20" s="63" t="s">
        <v>126</v>
      </c>
      <c r="E20" s="62" t="s">
        <v>118</v>
      </c>
      <c r="F20" s="69">
        <v>5797000</v>
      </c>
      <c r="G20" s="69">
        <v>0</v>
      </c>
      <c r="H20" s="64">
        <f t="shared" si="0"/>
        <v>5797000</v>
      </c>
    </row>
    <row r="21" spans="1:9" s="45" customFormat="1" ht="31.5">
      <c r="A21" s="68" t="s">
        <v>121</v>
      </c>
      <c r="B21" s="61" t="s">
        <v>104</v>
      </c>
      <c r="C21" s="62" t="s">
        <v>108</v>
      </c>
      <c r="D21" s="63" t="s">
        <v>126</v>
      </c>
      <c r="E21" s="62" t="s">
        <v>122</v>
      </c>
      <c r="F21" s="66">
        <f>F22</f>
        <v>535157</v>
      </c>
      <c r="G21" s="66">
        <f>G22</f>
        <v>0</v>
      </c>
      <c r="H21" s="64">
        <f t="shared" si="0"/>
        <v>535157</v>
      </c>
      <c r="I21" s="33"/>
    </row>
    <row r="22" spans="1:9" s="45" customFormat="1" ht="31.5">
      <c r="A22" s="68" t="s">
        <v>123</v>
      </c>
      <c r="B22" s="61" t="s">
        <v>104</v>
      </c>
      <c r="C22" s="62" t="s">
        <v>108</v>
      </c>
      <c r="D22" s="63" t="s">
        <v>126</v>
      </c>
      <c r="E22" s="62" t="s">
        <v>124</v>
      </c>
      <c r="F22" s="66">
        <v>535157</v>
      </c>
      <c r="G22" s="66">
        <v>0</v>
      </c>
      <c r="H22" s="64">
        <f t="shared" si="0"/>
        <v>535157</v>
      </c>
      <c r="I22" s="33"/>
    </row>
    <row r="23" spans="1:9" s="45" customFormat="1" ht="38.25" customHeight="1">
      <c r="A23" s="65" t="s">
        <v>127</v>
      </c>
      <c r="B23" s="61" t="s">
        <v>104</v>
      </c>
      <c r="C23" s="62" t="s">
        <v>108</v>
      </c>
      <c r="D23" s="63" t="s">
        <v>128</v>
      </c>
      <c r="E23" s="63"/>
      <c r="F23" s="66">
        <f>SUM(F24,F26,F28)</f>
        <v>179666667</v>
      </c>
      <c r="G23" s="66">
        <f>SUM(G24,G26,G28)</f>
        <v>0</v>
      </c>
      <c r="H23" s="64">
        <f t="shared" si="0"/>
        <v>179666667</v>
      </c>
      <c r="I23" s="33"/>
    </row>
    <row r="24" spans="1:9" s="45" customFormat="1" ht="72.75" customHeight="1">
      <c r="A24" s="67" t="s">
        <v>115</v>
      </c>
      <c r="B24" s="61" t="s">
        <v>104</v>
      </c>
      <c r="C24" s="62" t="s">
        <v>108</v>
      </c>
      <c r="D24" s="63" t="s">
        <v>128</v>
      </c>
      <c r="E24" s="62" t="s">
        <v>116</v>
      </c>
      <c r="F24" s="66">
        <f>F25</f>
        <v>167700000</v>
      </c>
      <c r="G24" s="66">
        <f>G25</f>
        <v>0</v>
      </c>
      <c r="H24" s="64">
        <f t="shared" si="0"/>
        <v>167700000</v>
      </c>
      <c r="I24" s="33"/>
    </row>
    <row r="25" spans="1:9" s="45" customFormat="1" ht="31.5">
      <c r="A25" s="67" t="s">
        <v>117</v>
      </c>
      <c r="B25" s="61" t="s">
        <v>104</v>
      </c>
      <c r="C25" s="62" t="s">
        <v>108</v>
      </c>
      <c r="D25" s="63" t="s">
        <v>128</v>
      </c>
      <c r="E25" s="62" t="s">
        <v>118</v>
      </c>
      <c r="F25" s="66">
        <v>167700000</v>
      </c>
      <c r="G25" s="66"/>
      <c r="H25" s="64">
        <f t="shared" si="0"/>
        <v>167700000</v>
      </c>
      <c r="I25" s="33"/>
    </row>
    <row r="26" spans="1:9" s="45" customFormat="1" ht="31.5">
      <c r="A26" s="68" t="s">
        <v>121</v>
      </c>
      <c r="B26" s="61" t="s">
        <v>104</v>
      </c>
      <c r="C26" s="62" t="s">
        <v>108</v>
      </c>
      <c r="D26" s="63" t="s">
        <v>128</v>
      </c>
      <c r="E26" s="62" t="s">
        <v>122</v>
      </c>
      <c r="F26" s="66">
        <f>F27</f>
        <v>11866667</v>
      </c>
      <c r="G26" s="66">
        <f>G27</f>
        <v>0</v>
      </c>
      <c r="H26" s="64">
        <f t="shared" si="0"/>
        <v>11866667</v>
      </c>
      <c r="I26" s="33"/>
    </row>
    <row r="27" spans="1:9" s="45" customFormat="1" ht="31.5">
      <c r="A27" s="68" t="s">
        <v>123</v>
      </c>
      <c r="B27" s="61" t="s">
        <v>104</v>
      </c>
      <c r="C27" s="62" t="s">
        <v>108</v>
      </c>
      <c r="D27" s="63" t="s">
        <v>128</v>
      </c>
      <c r="E27" s="62" t="s">
        <v>124</v>
      </c>
      <c r="F27" s="66">
        <f>12200000-333333</f>
        <v>11866667</v>
      </c>
      <c r="G27" s="66">
        <v>0</v>
      </c>
      <c r="H27" s="64">
        <f t="shared" si="0"/>
        <v>11866667</v>
      </c>
      <c r="I27" s="33"/>
    </row>
    <row r="28" spans="1:8" s="33" customFormat="1" ht="15.75">
      <c r="A28" s="68" t="s">
        <v>129</v>
      </c>
      <c r="B28" s="61" t="s">
        <v>104</v>
      </c>
      <c r="C28" s="62" t="s">
        <v>108</v>
      </c>
      <c r="D28" s="63" t="s">
        <v>128</v>
      </c>
      <c r="E28" s="62" t="s">
        <v>130</v>
      </c>
      <c r="F28" s="66">
        <f>F29</f>
        <v>100000</v>
      </c>
      <c r="G28" s="66">
        <f>G29</f>
        <v>0</v>
      </c>
      <c r="H28" s="64">
        <f t="shared" si="0"/>
        <v>100000</v>
      </c>
    </row>
    <row r="29" spans="1:9" s="45" customFormat="1" ht="15.75">
      <c r="A29" s="68" t="s">
        <v>131</v>
      </c>
      <c r="B29" s="61" t="s">
        <v>104</v>
      </c>
      <c r="C29" s="62" t="s">
        <v>108</v>
      </c>
      <c r="D29" s="63" t="s">
        <v>128</v>
      </c>
      <c r="E29" s="62" t="s">
        <v>132</v>
      </c>
      <c r="F29" s="66">
        <v>100000</v>
      </c>
      <c r="G29" s="66">
        <v>0</v>
      </c>
      <c r="H29" s="64">
        <f t="shared" si="0"/>
        <v>100000</v>
      </c>
      <c r="I29" s="33"/>
    </row>
    <row r="30" spans="1:9" s="45" customFormat="1" ht="15.75">
      <c r="A30" s="70" t="s">
        <v>133</v>
      </c>
      <c r="B30" s="56" t="s">
        <v>104</v>
      </c>
      <c r="C30" s="57" t="s">
        <v>134</v>
      </c>
      <c r="D30" s="71"/>
      <c r="E30" s="57"/>
      <c r="F30" s="72">
        <f>F31</f>
        <v>10994</v>
      </c>
      <c r="G30" s="72">
        <f>G31</f>
        <v>0</v>
      </c>
      <c r="H30" s="58">
        <f t="shared" si="0"/>
        <v>10994</v>
      </c>
      <c r="I30" s="33"/>
    </row>
    <row r="31" spans="1:9" s="45" customFormat="1" ht="15.75">
      <c r="A31" s="60" t="s">
        <v>109</v>
      </c>
      <c r="B31" s="61" t="s">
        <v>104</v>
      </c>
      <c r="C31" s="62" t="s">
        <v>134</v>
      </c>
      <c r="D31" s="63" t="s">
        <v>110</v>
      </c>
      <c r="E31" s="62"/>
      <c r="F31" s="66">
        <f>F32</f>
        <v>10994</v>
      </c>
      <c r="G31" s="66">
        <f>G32</f>
        <v>0</v>
      </c>
      <c r="H31" s="64">
        <f t="shared" si="0"/>
        <v>10994</v>
      </c>
      <c r="I31" s="33"/>
    </row>
    <row r="32" spans="1:9" s="45" customFormat="1" ht="47.25">
      <c r="A32" s="65" t="s">
        <v>135</v>
      </c>
      <c r="B32" s="61" t="s">
        <v>104</v>
      </c>
      <c r="C32" s="62" t="s">
        <v>134</v>
      </c>
      <c r="D32" s="63" t="s">
        <v>136</v>
      </c>
      <c r="E32" s="63"/>
      <c r="F32" s="66">
        <f>F33</f>
        <v>10994</v>
      </c>
      <c r="G32" s="66">
        <f>G33</f>
        <v>0</v>
      </c>
      <c r="H32" s="64">
        <f t="shared" si="0"/>
        <v>10994</v>
      </c>
      <c r="I32" s="33"/>
    </row>
    <row r="33" spans="1:9" s="45" customFormat="1" ht="47.25">
      <c r="A33" s="65" t="s">
        <v>137</v>
      </c>
      <c r="B33" s="61" t="s">
        <v>104</v>
      </c>
      <c r="C33" s="62" t="s">
        <v>134</v>
      </c>
      <c r="D33" s="63" t="s">
        <v>138</v>
      </c>
      <c r="E33" s="62"/>
      <c r="F33" s="66">
        <f>F34</f>
        <v>10994</v>
      </c>
      <c r="G33" s="66">
        <f>G34</f>
        <v>0</v>
      </c>
      <c r="H33" s="64">
        <f t="shared" si="0"/>
        <v>10994</v>
      </c>
      <c r="I33" s="33"/>
    </row>
    <row r="34" spans="1:9" s="45" customFormat="1" ht="31.5">
      <c r="A34" s="68" t="s">
        <v>139</v>
      </c>
      <c r="B34" s="61" t="s">
        <v>104</v>
      </c>
      <c r="C34" s="62" t="s">
        <v>134</v>
      </c>
      <c r="D34" s="63" t="s">
        <v>138</v>
      </c>
      <c r="E34" s="62" t="s">
        <v>122</v>
      </c>
      <c r="F34" s="66">
        <f>F35</f>
        <v>10994</v>
      </c>
      <c r="G34" s="66">
        <f>G35</f>
        <v>0</v>
      </c>
      <c r="H34" s="64">
        <f t="shared" si="0"/>
        <v>10994</v>
      </c>
      <c r="I34" s="33"/>
    </row>
    <row r="35" spans="1:9" s="45" customFormat="1" ht="31.5">
      <c r="A35" s="68" t="s">
        <v>123</v>
      </c>
      <c r="B35" s="61" t="s">
        <v>104</v>
      </c>
      <c r="C35" s="62" t="s">
        <v>134</v>
      </c>
      <c r="D35" s="63" t="s">
        <v>138</v>
      </c>
      <c r="E35" s="62" t="s">
        <v>124</v>
      </c>
      <c r="F35" s="66">
        <v>10994</v>
      </c>
      <c r="G35" s="66">
        <v>0</v>
      </c>
      <c r="H35" s="64">
        <f t="shared" si="0"/>
        <v>10994</v>
      </c>
      <c r="I35" s="33"/>
    </row>
    <row r="36" spans="1:9" s="45" customFormat="1" ht="15.75">
      <c r="A36" s="73" t="s">
        <v>140</v>
      </c>
      <c r="B36" s="74" t="s">
        <v>104</v>
      </c>
      <c r="C36" s="74" t="s">
        <v>141</v>
      </c>
      <c r="D36" s="74"/>
      <c r="E36" s="74"/>
      <c r="F36" s="75">
        <f>F37</f>
        <v>0</v>
      </c>
      <c r="G36" s="75">
        <f>G37</f>
        <v>578710</v>
      </c>
      <c r="H36" s="76">
        <f t="shared" si="0"/>
        <v>578710</v>
      </c>
      <c r="I36" s="33"/>
    </row>
    <row r="37" spans="1:9" s="45" customFormat="1" ht="15.75">
      <c r="A37" s="77" t="s">
        <v>109</v>
      </c>
      <c r="B37" s="78" t="s">
        <v>104</v>
      </c>
      <c r="C37" s="78" t="s">
        <v>141</v>
      </c>
      <c r="D37" s="78" t="s">
        <v>110</v>
      </c>
      <c r="E37" s="78"/>
      <c r="F37" s="79">
        <f>F38</f>
        <v>0</v>
      </c>
      <c r="G37" s="79">
        <f>G38</f>
        <v>578710</v>
      </c>
      <c r="H37" s="80">
        <f t="shared" si="0"/>
        <v>578710</v>
      </c>
      <c r="I37" s="33"/>
    </row>
    <row r="38" spans="1:9" s="45" customFormat="1" ht="31.5">
      <c r="A38" s="77" t="s">
        <v>142</v>
      </c>
      <c r="B38" s="78" t="s">
        <v>104</v>
      </c>
      <c r="C38" s="78" t="s">
        <v>141</v>
      </c>
      <c r="D38" s="78" t="s">
        <v>143</v>
      </c>
      <c r="E38" s="78"/>
      <c r="F38" s="79">
        <f>F39</f>
        <v>0</v>
      </c>
      <c r="G38" s="79">
        <f>G39</f>
        <v>578710</v>
      </c>
      <c r="H38" s="80">
        <f t="shared" si="0"/>
        <v>578710</v>
      </c>
      <c r="I38" s="33"/>
    </row>
    <row r="39" spans="1:9" s="45" customFormat="1" ht="31.5">
      <c r="A39" s="77" t="s">
        <v>144</v>
      </c>
      <c r="B39" s="78" t="s">
        <v>104</v>
      </c>
      <c r="C39" s="78" t="s">
        <v>141</v>
      </c>
      <c r="D39" s="78" t="s">
        <v>145</v>
      </c>
      <c r="E39" s="78"/>
      <c r="F39" s="79">
        <f>F40</f>
        <v>0</v>
      </c>
      <c r="G39" s="79">
        <f>G40</f>
        <v>578710</v>
      </c>
      <c r="H39" s="80">
        <f t="shared" si="0"/>
        <v>578710</v>
      </c>
      <c r="I39" s="33"/>
    </row>
    <row r="40" spans="1:9" s="45" customFormat="1" ht="15.75">
      <c r="A40" s="77" t="s">
        <v>129</v>
      </c>
      <c r="B40" s="78" t="s">
        <v>104</v>
      </c>
      <c r="C40" s="78" t="s">
        <v>141</v>
      </c>
      <c r="D40" s="78" t="s">
        <v>145</v>
      </c>
      <c r="E40" s="78" t="s">
        <v>130</v>
      </c>
      <c r="F40" s="79">
        <f>F41</f>
        <v>0</v>
      </c>
      <c r="G40" s="79">
        <f>G41</f>
        <v>578710</v>
      </c>
      <c r="H40" s="80">
        <f t="shared" si="0"/>
        <v>578710</v>
      </c>
      <c r="I40" s="33"/>
    </row>
    <row r="41" spans="1:9" s="45" customFormat="1" ht="15.75">
      <c r="A41" s="77" t="s">
        <v>146</v>
      </c>
      <c r="B41" s="78" t="s">
        <v>104</v>
      </c>
      <c r="C41" s="78" t="s">
        <v>141</v>
      </c>
      <c r="D41" s="78" t="s">
        <v>145</v>
      </c>
      <c r="E41" s="78" t="s">
        <v>147</v>
      </c>
      <c r="F41" s="79"/>
      <c r="G41" s="81">
        <v>578710</v>
      </c>
      <c r="H41" s="80">
        <f t="shared" si="0"/>
        <v>578710</v>
      </c>
      <c r="I41" s="33"/>
    </row>
    <row r="42" spans="1:9" s="45" customFormat="1" ht="15.75">
      <c r="A42" s="55" t="s">
        <v>148</v>
      </c>
      <c r="B42" s="56" t="s">
        <v>104</v>
      </c>
      <c r="C42" s="57" t="s">
        <v>149</v>
      </c>
      <c r="D42" s="82"/>
      <c r="E42" s="82"/>
      <c r="F42" s="72">
        <f>SUM(F43,F49,F65,F76,F101,F61)</f>
        <v>101963529</v>
      </c>
      <c r="G42" s="72">
        <f>SUM(G43,G49,G65,G76,G101,G61)</f>
        <v>22262296.15</v>
      </c>
      <c r="H42" s="58">
        <f t="shared" si="0"/>
        <v>124225825.15</v>
      </c>
      <c r="I42" s="33"/>
    </row>
    <row r="43" spans="1:9" s="45" customFormat="1" ht="47.25">
      <c r="A43" s="65" t="s">
        <v>150</v>
      </c>
      <c r="B43" s="61" t="s">
        <v>104</v>
      </c>
      <c r="C43" s="61" t="s">
        <v>149</v>
      </c>
      <c r="D43" s="63" t="s">
        <v>151</v>
      </c>
      <c r="E43" s="82"/>
      <c r="F43" s="66">
        <f>SUM(F44)</f>
        <v>9000000</v>
      </c>
      <c r="G43" s="66">
        <f>SUM(G44)</f>
        <v>0</v>
      </c>
      <c r="H43" s="64">
        <f t="shared" si="0"/>
        <v>9000000</v>
      </c>
      <c r="I43" s="33"/>
    </row>
    <row r="44" spans="1:9" s="45" customFormat="1" ht="31.5">
      <c r="A44" s="65" t="s">
        <v>152</v>
      </c>
      <c r="B44" s="61" t="s">
        <v>104</v>
      </c>
      <c r="C44" s="61" t="s">
        <v>149</v>
      </c>
      <c r="D44" s="63" t="s">
        <v>153</v>
      </c>
      <c r="E44" s="82"/>
      <c r="F44" s="66">
        <f>SUM(F47,F45)</f>
        <v>9000000</v>
      </c>
      <c r="G44" s="66">
        <f>SUM(G47,G45)</f>
        <v>0</v>
      </c>
      <c r="H44" s="64">
        <f t="shared" si="0"/>
        <v>9000000</v>
      </c>
      <c r="I44" s="33"/>
    </row>
    <row r="45" spans="1:9" s="45" customFormat="1" ht="31.5">
      <c r="A45" s="68" t="s">
        <v>139</v>
      </c>
      <c r="B45" s="61" t="s">
        <v>104</v>
      </c>
      <c r="C45" s="61" t="s">
        <v>149</v>
      </c>
      <c r="D45" s="63" t="s">
        <v>153</v>
      </c>
      <c r="E45" s="62" t="s">
        <v>122</v>
      </c>
      <c r="F45" s="66">
        <f>F46</f>
        <v>0</v>
      </c>
      <c r="G45" s="66">
        <f>G46</f>
        <v>9000000</v>
      </c>
      <c r="H45" s="64"/>
      <c r="I45" s="33"/>
    </row>
    <row r="46" spans="1:9" s="45" customFormat="1" ht="31.5">
      <c r="A46" s="68" t="s">
        <v>123</v>
      </c>
      <c r="B46" s="61" t="s">
        <v>104</v>
      </c>
      <c r="C46" s="61" t="s">
        <v>149</v>
      </c>
      <c r="D46" s="63" t="s">
        <v>153</v>
      </c>
      <c r="E46" s="62" t="s">
        <v>124</v>
      </c>
      <c r="F46" s="66">
        <v>0</v>
      </c>
      <c r="G46" s="66">
        <v>9000000</v>
      </c>
      <c r="H46" s="64"/>
      <c r="I46" s="33"/>
    </row>
    <row r="47" spans="1:9" s="45" customFormat="1" ht="15.75">
      <c r="A47" s="65" t="s">
        <v>129</v>
      </c>
      <c r="B47" s="61" t="s">
        <v>104</v>
      </c>
      <c r="C47" s="61" t="s">
        <v>149</v>
      </c>
      <c r="D47" s="63" t="s">
        <v>153</v>
      </c>
      <c r="E47" s="62" t="s">
        <v>130</v>
      </c>
      <c r="F47" s="66">
        <f>SUM(F48)</f>
        <v>9000000</v>
      </c>
      <c r="G47" s="66">
        <f>SUM(G48)</f>
        <v>-9000000</v>
      </c>
      <c r="H47" s="64">
        <f>SUM(F47:G47)</f>
        <v>0</v>
      </c>
      <c r="I47" s="33"/>
    </row>
    <row r="48" spans="1:9" s="45" customFormat="1" ht="15.75">
      <c r="A48" s="65" t="s">
        <v>146</v>
      </c>
      <c r="B48" s="61" t="s">
        <v>104</v>
      </c>
      <c r="C48" s="61" t="s">
        <v>149</v>
      </c>
      <c r="D48" s="63" t="s">
        <v>153</v>
      </c>
      <c r="E48" s="62" t="s">
        <v>147</v>
      </c>
      <c r="F48" s="66">
        <v>9000000</v>
      </c>
      <c r="G48" s="66">
        <v>-9000000</v>
      </c>
      <c r="H48" s="64">
        <f>SUM(F48:G48)</f>
        <v>0</v>
      </c>
      <c r="I48" s="33"/>
    </row>
    <row r="49" spans="1:9" s="45" customFormat="1" ht="21.75" customHeight="1">
      <c r="A49" s="65" t="s">
        <v>154</v>
      </c>
      <c r="B49" s="61" t="s">
        <v>104</v>
      </c>
      <c r="C49" s="62" t="s">
        <v>149</v>
      </c>
      <c r="D49" s="63" t="s">
        <v>155</v>
      </c>
      <c r="E49" s="63"/>
      <c r="F49" s="66">
        <f>SUM(F50)</f>
        <v>47471350</v>
      </c>
      <c r="G49" s="66">
        <f>SUM(G50)</f>
        <v>4738523.54</v>
      </c>
      <c r="H49" s="64">
        <f>SUM(F49:G49)</f>
        <v>52209873.54</v>
      </c>
      <c r="I49" s="33"/>
    </row>
    <row r="50" spans="1:9" s="45" customFormat="1" ht="15.75">
      <c r="A50" s="83" t="s">
        <v>156</v>
      </c>
      <c r="B50" s="61" t="s">
        <v>104</v>
      </c>
      <c r="C50" s="62" t="s">
        <v>149</v>
      </c>
      <c r="D50" s="63" t="s">
        <v>157</v>
      </c>
      <c r="E50" s="63"/>
      <c r="F50" s="66">
        <f>SUM(F51,F58)</f>
        <v>47471350</v>
      </c>
      <c r="G50" s="66">
        <f>SUM(G51,G58)</f>
        <v>4738523.54</v>
      </c>
      <c r="H50" s="64">
        <f>SUM(F50:G50)</f>
        <v>52209873.54</v>
      </c>
      <c r="I50" s="33"/>
    </row>
    <row r="51" spans="1:9" s="45" customFormat="1" ht="15.75">
      <c r="A51" s="83" t="s">
        <v>158</v>
      </c>
      <c r="B51" s="61" t="s">
        <v>104</v>
      </c>
      <c r="C51" s="62" t="s">
        <v>149</v>
      </c>
      <c r="D51" s="63" t="s">
        <v>159</v>
      </c>
      <c r="E51" s="63"/>
      <c r="F51" s="66">
        <f>SUM(F52,F54,F56)</f>
        <v>45471350</v>
      </c>
      <c r="G51" s="66">
        <f>SUM(G52,G54,G56)</f>
        <v>1742533.34</v>
      </c>
      <c r="H51" s="64">
        <f>SUM(F51:G51)</f>
        <v>47213883.34</v>
      </c>
      <c r="I51" s="33"/>
    </row>
    <row r="52" spans="1:8" s="33" customFormat="1" ht="66" customHeight="1">
      <c r="A52" s="67" t="s">
        <v>115</v>
      </c>
      <c r="B52" s="61" t="s">
        <v>104</v>
      </c>
      <c r="C52" s="62" t="s">
        <v>149</v>
      </c>
      <c r="D52" s="63" t="s">
        <v>159</v>
      </c>
      <c r="E52" s="63">
        <v>100</v>
      </c>
      <c r="F52" s="66">
        <f>F53</f>
        <v>16500000</v>
      </c>
      <c r="G52" s="66">
        <f>G53</f>
        <v>0</v>
      </c>
      <c r="H52" s="64">
        <f>SUM(F52:G52)</f>
        <v>16500000</v>
      </c>
    </row>
    <row r="53" spans="1:9" s="45" customFormat="1" ht="15.75">
      <c r="A53" s="67" t="s">
        <v>160</v>
      </c>
      <c r="B53" s="61" t="s">
        <v>104</v>
      </c>
      <c r="C53" s="62" t="s">
        <v>149</v>
      </c>
      <c r="D53" s="63" t="s">
        <v>159</v>
      </c>
      <c r="E53" s="63">
        <v>110</v>
      </c>
      <c r="F53" s="66">
        <v>16500000</v>
      </c>
      <c r="G53" s="66"/>
      <c r="H53" s="64">
        <f>SUM(F53:G53)</f>
        <v>16500000</v>
      </c>
      <c r="I53" s="33"/>
    </row>
    <row r="54" spans="1:9" s="45" customFormat="1" ht="31.5">
      <c r="A54" s="68" t="s">
        <v>121</v>
      </c>
      <c r="B54" s="61" t="s">
        <v>104</v>
      </c>
      <c r="C54" s="62" t="s">
        <v>149</v>
      </c>
      <c r="D54" s="63" t="s">
        <v>159</v>
      </c>
      <c r="E54" s="63">
        <v>200</v>
      </c>
      <c r="F54" s="66">
        <f>F55</f>
        <v>28771350</v>
      </c>
      <c r="G54" s="66">
        <f>G55</f>
        <v>1742533.34</v>
      </c>
      <c r="H54" s="64">
        <f>SUM(F54:G54)</f>
        <v>30513883.34</v>
      </c>
      <c r="I54" s="33"/>
    </row>
    <row r="55" spans="1:9" s="45" customFormat="1" ht="31.5">
      <c r="A55" s="68" t="s">
        <v>123</v>
      </c>
      <c r="B55" s="61" t="s">
        <v>104</v>
      </c>
      <c r="C55" s="62" t="s">
        <v>149</v>
      </c>
      <c r="D55" s="63" t="s">
        <v>159</v>
      </c>
      <c r="E55" s="63">
        <v>240</v>
      </c>
      <c r="F55" s="66">
        <v>28771350</v>
      </c>
      <c r="G55" s="66">
        <v>1742533.34</v>
      </c>
      <c r="H55" s="64">
        <f>SUM(F55:G55)</f>
        <v>30513883.34</v>
      </c>
      <c r="I55" s="33"/>
    </row>
    <row r="56" spans="1:9" s="45" customFormat="1" ht="15.75">
      <c r="A56" s="68" t="s">
        <v>129</v>
      </c>
      <c r="B56" s="61" t="s">
        <v>104</v>
      </c>
      <c r="C56" s="62" t="s">
        <v>149</v>
      </c>
      <c r="D56" s="63" t="s">
        <v>159</v>
      </c>
      <c r="E56" s="63">
        <v>800</v>
      </c>
      <c r="F56" s="66">
        <f>F57</f>
        <v>200000</v>
      </c>
      <c r="G56" s="66">
        <f>G57</f>
        <v>0</v>
      </c>
      <c r="H56" s="64">
        <f>SUM(F56:G56)</f>
        <v>200000</v>
      </c>
      <c r="I56" s="33"/>
    </row>
    <row r="57" spans="1:9" s="45" customFormat="1" ht="15.75">
      <c r="A57" s="68" t="s">
        <v>131</v>
      </c>
      <c r="B57" s="61" t="s">
        <v>104</v>
      </c>
      <c r="C57" s="62" t="s">
        <v>149</v>
      </c>
      <c r="D57" s="63" t="s">
        <v>159</v>
      </c>
      <c r="E57" s="63">
        <v>850</v>
      </c>
      <c r="F57" s="66">
        <v>200000</v>
      </c>
      <c r="G57" s="66">
        <v>0</v>
      </c>
      <c r="H57" s="64">
        <f>SUM(F57:G57)</f>
        <v>200000</v>
      </c>
      <c r="I57" s="33"/>
    </row>
    <row r="58" spans="1:9" s="45" customFormat="1" ht="31.5">
      <c r="A58" s="83" t="s">
        <v>161</v>
      </c>
      <c r="B58" s="61" t="s">
        <v>104</v>
      </c>
      <c r="C58" s="62" t="s">
        <v>149</v>
      </c>
      <c r="D58" s="63" t="s">
        <v>162</v>
      </c>
      <c r="E58" s="63"/>
      <c r="F58" s="66">
        <f>F59</f>
        <v>2000000</v>
      </c>
      <c r="G58" s="66">
        <f>G59</f>
        <v>2995990.2</v>
      </c>
      <c r="H58" s="64">
        <f>SUM(F58:G58)</f>
        <v>4995990.2</v>
      </c>
      <c r="I58" s="33"/>
    </row>
    <row r="59" spans="1:9" s="45" customFormat="1" ht="31.5">
      <c r="A59" s="68" t="s">
        <v>121</v>
      </c>
      <c r="B59" s="61" t="s">
        <v>104</v>
      </c>
      <c r="C59" s="62" t="s">
        <v>149</v>
      </c>
      <c r="D59" s="63" t="s">
        <v>162</v>
      </c>
      <c r="E59" s="63">
        <v>200</v>
      </c>
      <c r="F59" s="66">
        <f>F60</f>
        <v>2000000</v>
      </c>
      <c r="G59" s="66">
        <f>G60</f>
        <v>2995990.2</v>
      </c>
      <c r="H59" s="64">
        <f>SUM(F59:G59)</f>
        <v>4995990.2</v>
      </c>
      <c r="I59" s="33"/>
    </row>
    <row r="60" spans="1:9" s="45" customFormat="1" ht="31.5">
      <c r="A60" s="68" t="s">
        <v>123</v>
      </c>
      <c r="B60" s="61" t="s">
        <v>104</v>
      </c>
      <c r="C60" s="62" t="s">
        <v>149</v>
      </c>
      <c r="D60" s="63" t="s">
        <v>162</v>
      </c>
      <c r="E60" s="63">
        <v>240</v>
      </c>
      <c r="F60" s="69">
        <v>2000000</v>
      </c>
      <c r="G60" s="69">
        <v>2995990.2</v>
      </c>
      <c r="H60" s="64">
        <f>SUM(F60:G60)</f>
        <v>4995990.2</v>
      </c>
      <c r="I60" s="33"/>
    </row>
    <row r="61" spans="1:9" s="45" customFormat="1" ht="31.5" customHeight="1">
      <c r="A61" s="68" t="s">
        <v>163</v>
      </c>
      <c r="B61" s="61" t="s">
        <v>104</v>
      </c>
      <c r="C61" s="62" t="s">
        <v>149</v>
      </c>
      <c r="D61" s="63" t="s">
        <v>164</v>
      </c>
      <c r="E61" s="63"/>
      <c r="F61" s="69">
        <f>F62</f>
        <v>0</v>
      </c>
      <c r="G61" s="69">
        <f>G62</f>
        <v>100000</v>
      </c>
      <c r="H61" s="64">
        <f>SUM(F61:G61)</f>
        <v>100000</v>
      </c>
      <c r="I61" s="33"/>
    </row>
    <row r="62" spans="1:9" s="45" customFormat="1" ht="31.5">
      <c r="A62" s="68" t="s">
        <v>165</v>
      </c>
      <c r="B62" s="61" t="s">
        <v>104</v>
      </c>
      <c r="C62" s="62" t="s">
        <v>149</v>
      </c>
      <c r="D62" s="63" t="s">
        <v>166</v>
      </c>
      <c r="E62" s="63"/>
      <c r="F62" s="69">
        <f>F63</f>
        <v>0</v>
      </c>
      <c r="G62" s="69">
        <f>G63</f>
        <v>100000</v>
      </c>
      <c r="H62" s="64">
        <f>SUM(F62:G62)</f>
        <v>100000</v>
      </c>
      <c r="I62" s="33"/>
    </row>
    <row r="63" spans="1:9" s="45" customFormat="1" ht="31.5">
      <c r="A63" s="68" t="s">
        <v>167</v>
      </c>
      <c r="B63" s="61" t="s">
        <v>104</v>
      </c>
      <c r="C63" s="62" t="s">
        <v>149</v>
      </c>
      <c r="D63" s="63" t="s">
        <v>166</v>
      </c>
      <c r="E63" s="63">
        <v>600</v>
      </c>
      <c r="F63" s="69">
        <f>F64</f>
        <v>0</v>
      </c>
      <c r="G63" s="69">
        <f>G64</f>
        <v>100000</v>
      </c>
      <c r="H63" s="64">
        <f>SUM(F63:G63)</f>
        <v>100000</v>
      </c>
      <c r="I63" s="33"/>
    </row>
    <row r="64" spans="1:9" s="45" customFormat="1" ht="15.75">
      <c r="A64" s="68" t="s">
        <v>168</v>
      </c>
      <c r="B64" s="61" t="s">
        <v>104</v>
      </c>
      <c r="C64" s="62" t="s">
        <v>149</v>
      </c>
      <c r="D64" s="63" t="s">
        <v>166</v>
      </c>
      <c r="E64" s="63">
        <v>610</v>
      </c>
      <c r="F64" s="69">
        <v>0</v>
      </c>
      <c r="G64" s="69">
        <v>100000</v>
      </c>
      <c r="H64" s="64">
        <f>SUM(F64:G64)</f>
        <v>100000</v>
      </c>
      <c r="I64" s="33"/>
    </row>
    <row r="65" spans="1:9" s="45" customFormat="1" ht="31.5">
      <c r="A65" s="65" t="s">
        <v>169</v>
      </c>
      <c r="B65" s="61" t="s">
        <v>104</v>
      </c>
      <c r="C65" s="62" t="s">
        <v>149</v>
      </c>
      <c r="D65" s="63" t="s">
        <v>170</v>
      </c>
      <c r="E65" s="63"/>
      <c r="F65" s="66">
        <f>SUM(F66)</f>
        <v>1750000</v>
      </c>
      <c r="G65" s="66">
        <f>SUM(G66)</f>
        <v>0</v>
      </c>
      <c r="H65" s="64">
        <f>SUM(F65:G65)</f>
        <v>1750000</v>
      </c>
      <c r="I65" s="33"/>
    </row>
    <row r="66" spans="1:9" s="45" customFormat="1" ht="47.25">
      <c r="A66" s="83" t="s">
        <v>171</v>
      </c>
      <c r="B66" s="61" t="s">
        <v>104</v>
      </c>
      <c r="C66" s="62" t="s">
        <v>149</v>
      </c>
      <c r="D66" s="63" t="s">
        <v>172</v>
      </c>
      <c r="E66" s="63"/>
      <c r="F66" s="66">
        <f>SUM(F67,F70,F73)</f>
        <v>1750000</v>
      </c>
      <c r="G66" s="66">
        <f>SUM(G67,G70,G73)</f>
        <v>0</v>
      </c>
      <c r="H66" s="64">
        <f>SUM(F66:G66)</f>
        <v>1750000</v>
      </c>
      <c r="I66" s="33"/>
    </row>
    <row r="67" spans="1:8" s="33" customFormat="1" ht="31.5">
      <c r="A67" s="83" t="s">
        <v>173</v>
      </c>
      <c r="B67" s="61" t="s">
        <v>104</v>
      </c>
      <c r="C67" s="62" t="s">
        <v>149</v>
      </c>
      <c r="D67" s="63" t="s">
        <v>174</v>
      </c>
      <c r="E67" s="63"/>
      <c r="F67" s="66">
        <f>F68</f>
        <v>800000</v>
      </c>
      <c r="G67" s="66">
        <f>G68</f>
        <v>0</v>
      </c>
      <c r="H67" s="64">
        <f>SUM(F67:G67)</f>
        <v>800000</v>
      </c>
    </row>
    <row r="68" spans="1:9" s="45" customFormat="1" ht="31.5">
      <c r="A68" s="68" t="s">
        <v>121</v>
      </c>
      <c r="B68" s="61" t="s">
        <v>104</v>
      </c>
      <c r="C68" s="62" t="s">
        <v>149</v>
      </c>
      <c r="D68" s="63" t="s">
        <v>174</v>
      </c>
      <c r="E68" s="63">
        <v>200</v>
      </c>
      <c r="F68" s="66">
        <f>F69</f>
        <v>800000</v>
      </c>
      <c r="G68" s="66">
        <f>G69</f>
        <v>0</v>
      </c>
      <c r="H68" s="64">
        <f>SUM(F68:G68)</f>
        <v>800000</v>
      </c>
      <c r="I68" s="33"/>
    </row>
    <row r="69" spans="1:9" s="45" customFormat="1" ht="31.5">
      <c r="A69" s="68" t="s">
        <v>123</v>
      </c>
      <c r="B69" s="61" t="s">
        <v>104</v>
      </c>
      <c r="C69" s="62" t="s">
        <v>149</v>
      </c>
      <c r="D69" s="63" t="s">
        <v>174</v>
      </c>
      <c r="E69" s="63">
        <v>240</v>
      </c>
      <c r="F69" s="66">
        <v>800000</v>
      </c>
      <c r="G69" s="66">
        <v>0</v>
      </c>
      <c r="H69" s="64">
        <f>SUM(F69:G69)</f>
        <v>800000</v>
      </c>
      <c r="I69" s="33"/>
    </row>
    <row r="70" spans="1:9" s="45" customFormat="1" ht="31.5">
      <c r="A70" s="83" t="s">
        <v>175</v>
      </c>
      <c r="B70" s="61" t="s">
        <v>104</v>
      </c>
      <c r="C70" s="62" t="s">
        <v>149</v>
      </c>
      <c r="D70" s="63" t="s">
        <v>176</v>
      </c>
      <c r="E70" s="63"/>
      <c r="F70" s="66">
        <f>F71</f>
        <v>250000</v>
      </c>
      <c r="G70" s="66">
        <f>G71</f>
        <v>0</v>
      </c>
      <c r="H70" s="64">
        <f>SUM(F70:G70)</f>
        <v>250000</v>
      </c>
      <c r="I70" s="33"/>
    </row>
    <row r="71" spans="1:9" s="45" customFormat="1" ht="31.5">
      <c r="A71" s="68" t="s">
        <v>167</v>
      </c>
      <c r="B71" s="61" t="s">
        <v>104</v>
      </c>
      <c r="C71" s="62" t="s">
        <v>149</v>
      </c>
      <c r="D71" s="63" t="s">
        <v>176</v>
      </c>
      <c r="E71" s="63">
        <v>600</v>
      </c>
      <c r="F71" s="66">
        <f>F72</f>
        <v>250000</v>
      </c>
      <c r="G71" s="66">
        <f>G72</f>
        <v>0</v>
      </c>
      <c r="H71" s="64">
        <f>SUM(F71:G71)</f>
        <v>250000</v>
      </c>
      <c r="I71" s="33"/>
    </row>
    <row r="72" spans="1:9" s="45" customFormat="1" ht="31.5">
      <c r="A72" s="65" t="s">
        <v>177</v>
      </c>
      <c r="B72" s="61" t="s">
        <v>104</v>
      </c>
      <c r="C72" s="62" t="s">
        <v>149</v>
      </c>
      <c r="D72" s="63" t="s">
        <v>176</v>
      </c>
      <c r="E72" s="63">
        <v>630</v>
      </c>
      <c r="F72" s="66">
        <v>250000</v>
      </c>
      <c r="G72" s="66">
        <v>0</v>
      </c>
      <c r="H72" s="64">
        <f>SUM(F72:G72)</f>
        <v>250000</v>
      </c>
      <c r="I72" s="33"/>
    </row>
    <row r="73" spans="1:9" s="45" customFormat="1" ht="47.25">
      <c r="A73" s="83" t="s">
        <v>178</v>
      </c>
      <c r="B73" s="61" t="s">
        <v>104</v>
      </c>
      <c r="C73" s="62" t="s">
        <v>149</v>
      </c>
      <c r="D73" s="63" t="s">
        <v>179</v>
      </c>
      <c r="E73" s="63"/>
      <c r="F73" s="66">
        <f>F74</f>
        <v>700000</v>
      </c>
      <c r="G73" s="66">
        <f>G74</f>
        <v>0</v>
      </c>
      <c r="H73" s="64">
        <f>SUM(F73:G73)</f>
        <v>700000</v>
      </c>
      <c r="I73" s="33"/>
    </row>
    <row r="74" spans="1:9" s="45" customFormat="1" ht="31.5">
      <c r="A74" s="68" t="s">
        <v>167</v>
      </c>
      <c r="B74" s="61" t="s">
        <v>104</v>
      </c>
      <c r="C74" s="62" t="s">
        <v>149</v>
      </c>
      <c r="D74" s="63" t="s">
        <v>179</v>
      </c>
      <c r="E74" s="63">
        <v>600</v>
      </c>
      <c r="F74" s="66">
        <f>F75</f>
        <v>700000</v>
      </c>
      <c r="G74" s="66">
        <f>G75</f>
        <v>0</v>
      </c>
      <c r="H74" s="64">
        <f>SUM(F74:G74)</f>
        <v>700000</v>
      </c>
      <c r="I74" s="33"/>
    </row>
    <row r="75" spans="1:9" s="45" customFormat="1" ht="31.5">
      <c r="A75" s="65" t="s">
        <v>177</v>
      </c>
      <c r="B75" s="61" t="s">
        <v>104</v>
      </c>
      <c r="C75" s="62" t="s">
        <v>149</v>
      </c>
      <c r="D75" s="63" t="s">
        <v>179</v>
      </c>
      <c r="E75" s="63">
        <v>630</v>
      </c>
      <c r="F75" s="66">
        <v>700000</v>
      </c>
      <c r="G75" s="66">
        <v>0</v>
      </c>
      <c r="H75" s="64">
        <f>SUM(F75:G75)</f>
        <v>700000</v>
      </c>
      <c r="I75" s="33"/>
    </row>
    <row r="76" spans="1:9" s="45" customFormat="1" ht="47.25">
      <c r="A76" s="65" t="s">
        <v>180</v>
      </c>
      <c r="B76" s="61" t="s">
        <v>104</v>
      </c>
      <c r="C76" s="62" t="s">
        <v>149</v>
      </c>
      <c r="D76" s="63" t="s">
        <v>181</v>
      </c>
      <c r="E76" s="63"/>
      <c r="F76" s="66">
        <f>SUM(F77,F93)</f>
        <v>39009568</v>
      </c>
      <c r="G76" s="66">
        <f>SUM(G77,G93)</f>
        <v>4328790.92</v>
      </c>
      <c r="H76" s="64">
        <f>SUM(F76:G76)</f>
        <v>43338358.92</v>
      </c>
      <c r="I76" s="33"/>
    </row>
    <row r="77" spans="1:9" s="45" customFormat="1" ht="31.5">
      <c r="A77" s="65" t="s">
        <v>182</v>
      </c>
      <c r="B77" s="61" t="s">
        <v>104</v>
      </c>
      <c r="C77" s="62" t="s">
        <v>149</v>
      </c>
      <c r="D77" s="63" t="s">
        <v>183</v>
      </c>
      <c r="E77" s="63"/>
      <c r="F77" s="66">
        <f>SUM(F78,F81,F84,F87,F90)</f>
        <v>3409568</v>
      </c>
      <c r="G77" s="66">
        <f>SUM(G78,G81,G84,G87,G90)</f>
        <v>3978790.92</v>
      </c>
      <c r="H77" s="64">
        <f>SUM(F77:G77)</f>
        <v>7388358.92</v>
      </c>
      <c r="I77" s="33"/>
    </row>
    <row r="78" spans="1:9" s="45" customFormat="1" ht="31.5">
      <c r="A78" s="65" t="s">
        <v>184</v>
      </c>
      <c r="B78" s="61" t="s">
        <v>104</v>
      </c>
      <c r="C78" s="62" t="s">
        <v>149</v>
      </c>
      <c r="D78" s="63" t="s">
        <v>185</v>
      </c>
      <c r="E78" s="63"/>
      <c r="F78" s="66">
        <f>F79</f>
        <v>154492.4</v>
      </c>
      <c r="G78" s="66">
        <f>G79</f>
        <v>0.04</v>
      </c>
      <c r="H78" s="64">
        <f>SUM(F78:G78)</f>
        <v>154492.44</v>
      </c>
      <c r="I78" s="33"/>
    </row>
    <row r="79" spans="1:9" s="45" customFormat="1" ht="31.5">
      <c r="A79" s="68" t="s">
        <v>121</v>
      </c>
      <c r="B79" s="61" t="s">
        <v>104</v>
      </c>
      <c r="C79" s="62" t="s">
        <v>149</v>
      </c>
      <c r="D79" s="63" t="s">
        <v>185</v>
      </c>
      <c r="E79" s="63">
        <v>200</v>
      </c>
      <c r="F79" s="66">
        <f>F80</f>
        <v>154492.4</v>
      </c>
      <c r="G79" s="66">
        <f>G80</f>
        <v>0.04</v>
      </c>
      <c r="H79" s="64">
        <f>SUM(F79:G79)</f>
        <v>154492.44</v>
      </c>
      <c r="I79" s="33"/>
    </row>
    <row r="80" spans="1:9" s="45" customFormat="1" ht="31.5">
      <c r="A80" s="68" t="s">
        <v>123</v>
      </c>
      <c r="B80" s="61" t="s">
        <v>104</v>
      </c>
      <c r="C80" s="62" t="s">
        <v>149</v>
      </c>
      <c r="D80" s="63" t="s">
        <v>185</v>
      </c>
      <c r="E80" s="63">
        <v>240</v>
      </c>
      <c r="F80" s="66">
        <f>400000-245507.6</f>
        <v>154492.4</v>
      </c>
      <c r="G80" s="66">
        <v>0.04</v>
      </c>
      <c r="H80" s="64">
        <f>SUM(F80:G80)</f>
        <v>154492.44</v>
      </c>
      <c r="I80" s="33"/>
    </row>
    <row r="81" spans="1:9" s="45" customFormat="1" ht="47.25" customHeight="1">
      <c r="A81" s="65" t="s">
        <v>186</v>
      </c>
      <c r="B81" s="61" t="s">
        <v>104</v>
      </c>
      <c r="C81" s="62" t="s">
        <v>149</v>
      </c>
      <c r="D81" s="63" t="s">
        <v>187</v>
      </c>
      <c r="E81" s="63"/>
      <c r="F81" s="66">
        <f>F82</f>
        <v>1503018.8900000001</v>
      </c>
      <c r="G81" s="66">
        <f>G82</f>
        <v>0</v>
      </c>
      <c r="H81" s="64">
        <f>SUM(F81:G81)</f>
        <v>1503018.8900000001</v>
      </c>
      <c r="I81" s="33"/>
    </row>
    <row r="82" spans="1:9" s="45" customFormat="1" ht="31.5">
      <c r="A82" s="68" t="s">
        <v>121</v>
      </c>
      <c r="B82" s="61" t="s">
        <v>104</v>
      </c>
      <c r="C82" s="62" t="s">
        <v>149</v>
      </c>
      <c r="D82" s="63" t="s">
        <v>187</v>
      </c>
      <c r="E82" s="63">
        <v>200</v>
      </c>
      <c r="F82" s="66">
        <f>F83</f>
        <v>1503018.8900000001</v>
      </c>
      <c r="G82" s="66">
        <f>G83</f>
        <v>0</v>
      </c>
      <c r="H82" s="64">
        <f>SUM(F82:G82)</f>
        <v>1503018.8900000001</v>
      </c>
      <c r="I82" s="33"/>
    </row>
    <row r="83" spans="1:9" s="45" customFormat="1" ht="31.5">
      <c r="A83" s="68" t="s">
        <v>123</v>
      </c>
      <c r="B83" s="61" t="s">
        <v>104</v>
      </c>
      <c r="C83" s="62" t="s">
        <v>149</v>
      </c>
      <c r="D83" s="63" t="s">
        <v>187</v>
      </c>
      <c r="E83" s="63">
        <v>240</v>
      </c>
      <c r="F83" s="66">
        <f>1352717+150301.89</f>
        <v>1503018.8900000001</v>
      </c>
      <c r="G83" s="66">
        <v>0</v>
      </c>
      <c r="H83" s="64">
        <f>SUM(F83:G83)</f>
        <v>1503018.8900000001</v>
      </c>
      <c r="I83" s="33"/>
    </row>
    <row r="84" spans="1:8" s="45" customFormat="1" ht="69" customHeight="1">
      <c r="A84" s="65" t="s">
        <v>188</v>
      </c>
      <c r="B84" s="61" t="s">
        <v>104</v>
      </c>
      <c r="C84" s="62" t="s">
        <v>149</v>
      </c>
      <c r="D84" s="63" t="s">
        <v>189</v>
      </c>
      <c r="E84" s="63"/>
      <c r="F84" s="66">
        <f>F85</f>
        <v>952056.71</v>
      </c>
      <c r="G84" s="66">
        <f>G85</f>
        <v>-0.04</v>
      </c>
      <c r="H84" s="64">
        <f>SUM(F84:G84)</f>
        <v>952056.6699999999</v>
      </c>
    </row>
    <row r="85" spans="1:9" s="45" customFormat="1" ht="31.5">
      <c r="A85" s="68" t="s">
        <v>121</v>
      </c>
      <c r="B85" s="61" t="s">
        <v>104</v>
      </c>
      <c r="C85" s="62" t="s">
        <v>149</v>
      </c>
      <c r="D85" s="63" t="s">
        <v>189</v>
      </c>
      <c r="E85" s="63">
        <v>200</v>
      </c>
      <c r="F85" s="66">
        <f>F86</f>
        <v>952056.71</v>
      </c>
      <c r="G85" s="66">
        <f>G86</f>
        <v>-0.04</v>
      </c>
      <c r="H85" s="64">
        <f>SUM(F85:G85)</f>
        <v>952056.6699999999</v>
      </c>
      <c r="I85" s="33"/>
    </row>
    <row r="86" spans="1:9" s="45" customFormat="1" ht="31.5">
      <c r="A86" s="68" t="s">
        <v>123</v>
      </c>
      <c r="B86" s="61" t="s">
        <v>104</v>
      </c>
      <c r="C86" s="62" t="s">
        <v>149</v>
      </c>
      <c r="D86" s="63" t="s">
        <v>189</v>
      </c>
      <c r="E86" s="63">
        <v>240</v>
      </c>
      <c r="F86" s="66">
        <f>856851+95205.71</f>
        <v>952056.71</v>
      </c>
      <c r="G86" s="66">
        <v>-0.04</v>
      </c>
      <c r="H86" s="64">
        <f>SUM(F86:G86)</f>
        <v>952056.6699999999</v>
      </c>
      <c r="I86" s="33"/>
    </row>
    <row r="87" spans="1:9" s="45" customFormat="1" ht="47.25">
      <c r="A87" s="65" t="s">
        <v>190</v>
      </c>
      <c r="B87" s="61" t="s">
        <v>104</v>
      </c>
      <c r="C87" s="62" t="s">
        <v>149</v>
      </c>
      <c r="D87" s="63" t="s">
        <v>191</v>
      </c>
      <c r="E87" s="63"/>
      <c r="F87" s="66">
        <f>F88</f>
        <v>300000</v>
      </c>
      <c r="G87" s="66">
        <f>G88</f>
        <v>0</v>
      </c>
      <c r="H87" s="64">
        <f>SUM(F87:G87)</f>
        <v>300000</v>
      </c>
      <c r="I87" s="33"/>
    </row>
    <row r="88" spans="1:9" s="45" customFormat="1" ht="31.5">
      <c r="A88" s="68" t="s">
        <v>121</v>
      </c>
      <c r="B88" s="61" t="s">
        <v>104</v>
      </c>
      <c r="C88" s="62" t="s">
        <v>149</v>
      </c>
      <c r="D88" s="63" t="s">
        <v>191</v>
      </c>
      <c r="E88" s="63">
        <v>200</v>
      </c>
      <c r="F88" s="66">
        <f>F89</f>
        <v>300000</v>
      </c>
      <c r="G88" s="66">
        <f>G89</f>
        <v>0</v>
      </c>
      <c r="H88" s="64">
        <f>SUM(F88:G88)</f>
        <v>300000</v>
      </c>
      <c r="I88" s="33"/>
    </row>
    <row r="89" spans="1:9" s="45" customFormat="1" ht="31.5">
      <c r="A89" s="68" t="s">
        <v>123</v>
      </c>
      <c r="B89" s="61" t="s">
        <v>104</v>
      </c>
      <c r="C89" s="62" t="s">
        <v>149</v>
      </c>
      <c r="D89" s="63" t="s">
        <v>191</v>
      </c>
      <c r="E89" s="63">
        <v>240</v>
      </c>
      <c r="F89" s="66">
        <v>300000</v>
      </c>
      <c r="G89" s="66">
        <v>0</v>
      </c>
      <c r="H89" s="64">
        <f>SUM(F89:G89)</f>
        <v>300000</v>
      </c>
      <c r="I89" s="33"/>
    </row>
    <row r="90" spans="1:9" s="45" customFormat="1" ht="31.5">
      <c r="A90" s="65" t="s">
        <v>192</v>
      </c>
      <c r="B90" s="61" t="s">
        <v>104</v>
      </c>
      <c r="C90" s="62" t="s">
        <v>149</v>
      </c>
      <c r="D90" s="63" t="s">
        <v>193</v>
      </c>
      <c r="E90" s="63"/>
      <c r="F90" s="66">
        <f>F91</f>
        <v>500000</v>
      </c>
      <c r="G90" s="66">
        <f>G91</f>
        <v>3978790.92</v>
      </c>
      <c r="H90" s="64">
        <f>SUM(F90:G90)</f>
        <v>4478790.92</v>
      </c>
      <c r="I90" s="33"/>
    </row>
    <row r="91" spans="1:9" s="45" customFormat="1" ht="31.5">
      <c r="A91" s="68" t="s">
        <v>121</v>
      </c>
      <c r="B91" s="61" t="s">
        <v>104</v>
      </c>
      <c r="C91" s="62" t="s">
        <v>149</v>
      </c>
      <c r="D91" s="63" t="s">
        <v>193</v>
      </c>
      <c r="E91" s="63">
        <v>200</v>
      </c>
      <c r="F91" s="66">
        <f>F92</f>
        <v>500000</v>
      </c>
      <c r="G91" s="66">
        <f>G92</f>
        <v>3978790.92</v>
      </c>
      <c r="H91" s="64">
        <f>SUM(F91:G91)</f>
        <v>4478790.92</v>
      </c>
      <c r="I91" s="33"/>
    </row>
    <row r="92" spans="1:9" s="45" customFormat="1" ht="31.5">
      <c r="A92" s="68" t="s">
        <v>123</v>
      </c>
      <c r="B92" s="61" t="s">
        <v>104</v>
      </c>
      <c r="C92" s="62" t="s">
        <v>149</v>
      </c>
      <c r="D92" s="63" t="s">
        <v>193</v>
      </c>
      <c r="E92" s="63">
        <v>240</v>
      </c>
      <c r="F92" s="66">
        <v>500000</v>
      </c>
      <c r="G92" s="66">
        <v>3978790.92</v>
      </c>
      <c r="H92" s="64">
        <f>SUM(F92:G92)</f>
        <v>4478790.92</v>
      </c>
      <c r="I92" s="33"/>
    </row>
    <row r="93" spans="1:8" s="33" customFormat="1" ht="47.25">
      <c r="A93" s="68" t="s">
        <v>194</v>
      </c>
      <c r="B93" s="61" t="s">
        <v>104</v>
      </c>
      <c r="C93" s="62" t="s">
        <v>149</v>
      </c>
      <c r="D93" s="63" t="s">
        <v>195</v>
      </c>
      <c r="E93" s="63"/>
      <c r="F93" s="66">
        <f>F94</f>
        <v>35600000</v>
      </c>
      <c r="G93" s="66">
        <f>G94</f>
        <v>350000</v>
      </c>
      <c r="H93" s="64">
        <f>SUM(F93:G93)</f>
        <v>35950000</v>
      </c>
    </row>
    <row r="94" spans="1:8" ht="63">
      <c r="A94" s="65" t="s">
        <v>196</v>
      </c>
      <c r="B94" s="61" t="s">
        <v>104</v>
      </c>
      <c r="C94" s="62" t="s">
        <v>149</v>
      </c>
      <c r="D94" s="63" t="s">
        <v>197</v>
      </c>
      <c r="E94" s="63"/>
      <c r="F94" s="66">
        <f>SUM(F95,F97,F99)</f>
        <v>35600000</v>
      </c>
      <c r="G94" s="66">
        <f>SUM(G95,G97,G99)</f>
        <v>350000</v>
      </c>
      <c r="H94" s="64">
        <f>SUM(F94:G94)</f>
        <v>35950000</v>
      </c>
    </row>
    <row r="95" spans="1:9" s="45" customFormat="1" ht="78.75">
      <c r="A95" s="67" t="s">
        <v>115</v>
      </c>
      <c r="B95" s="61" t="s">
        <v>104</v>
      </c>
      <c r="C95" s="62" t="s">
        <v>149</v>
      </c>
      <c r="D95" s="63" t="s">
        <v>197</v>
      </c>
      <c r="E95" s="63">
        <v>100</v>
      </c>
      <c r="F95" s="66">
        <f>F96</f>
        <v>32000000</v>
      </c>
      <c r="G95" s="66">
        <f>G96</f>
        <v>-82120</v>
      </c>
      <c r="H95" s="64">
        <f>SUM(F95:G95)</f>
        <v>31917880</v>
      </c>
      <c r="I95" s="33"/>
    </row>
    <row r="96" spans="1:9" s="45" customFormat="1" ht="15.75">
      <c r="A96" s="67" t="s">
        <v>160</v>
      </c>
      <c r="B96" s="61" t="s">
        <v>104</v>
      </c>
      <c r="C96" s="62" t="s">
        <v>149</v>
      </c>
      <c r="D96" s="63" t="s">
        <v>197</v>
      </c>
      <c r="E96" s="63">
        <v>110</v>
      </c>
      <c r="F96" s="66">
        <v>32000000</v>
      </c>
      <c r="G96" s="66">
        <v>-82120</v>
      </c>
      <c r="H96" s="64">
        <f>SUM(F96:G96)</f>
        <v>31917880</v>
      </c>
      <c r="I96" s="33"/>
    </row>
    <row r="97" spans="1:8" ht="31.5">
      <c r="A97" s="68" t="s">
        <v>121</v>
      </c>
      <c r="B97" s="61" t="s">
        <v>104</v>
      </c>
      <c r="C97" s="62" t="s">
        <v>149</v>
      </c>
      <c r="D97" s="63" t="s">
        <v>197</v>
      </c>
      <c r="E97" s="63">
        <v>200</v>
      </c>
      <c r="F97" s="66">
        <f>F98</f>
        <v>3500000</v>
      </c>
      <c r="G97" s="66">
        <f>G98</f>
        <v>440000</v>
      </c>
      <c r="H97" s="64">
        <f>SUM(F97:G97)</f>
        <v>3940000</v>
      </c>
    </row>
    <row r="98" spans="1:9" s="45" customFormat="1" ht="31.5">
      <c r="A98" s="68" t="s">
        <v>123</v>
      </c>
      <c r="B98" s="61" t="s">
        <v>104</v>
      </c>
      <c r="C98" s="62" t="s">
        <v>149</v>
      </c>
      <c r="D98" s="63" t="s">
        <v>197</v>
      </c>
      <c r="E98" s="63">
        <v>240</v>
      </c>
      <c r="F98" s="66">
        <v>3500000</v>
      </c>
      <c r="G98" s="66">
        <f>-10000+450000</f>
        <v>440000</v>
      </c>
      <c r="H98" s="64">
        <f>SUM(F98:G98)</f>
        <v>3940000</v>
      </c>
      <c r="I98" s="33"/>
    </row>
    <row r="99" spans="1:9" s="45" customFormat="1" ht="15.75">
      <c r="A99" s="68" t="s">
        <v>129</v>
      </c>
      <c r="B99" s="61" t="s">
        <v>104</v>
      </c>
      <c r="C99" s="62" t="s">
        <v>149</v>
      </c>
      <c r="D99" s="63" t="s">
        <v>197</v>
      </c>
      <c r="E99" s="63">
        <v>800</v>
      </c>
      <c r="F99" s="66">
        <f>F100</f>
        <v>100000</v>
      </c>
      <c r="G99" s="66">
        <f>G100</f>
        <v>-7880</v>
      </c>
      <c r="H99" s="64">
        <f>SUM(F99:G99)</f>
        <v>92120</v>
      </c>
      <c r="I99" s="33"/>
    </row>
    <row r="100" spans="1:9" s="45" customFormat="1" ht="15.75">
      <c r="A100" s="68" t="s">
        <v>131</v>
      </c>
      <c r="B100" s="61" t="s">
        <v>104</v>
      </c>
      <c r="C100" s="62" t="s">
        <v>149</v>
      </c>
      <c r="D100" s="63" t="s">
        <v>197</v>
      </c>
      <c r="E100" s="63">
        <v>850</v>
      </c>
      <c r="F100" s="66">
        <v>100000</v>
      </c>
      <c r="G100" s="66">
        <v>-7880</v>
      </c>
      <c r="H100" s="64">
        <f>SUM(F100:G100)</f>
        <v>92120</v>
      </c>
      <c r="I100" s="33"/>
    </row>
    <row r="101" spans="1:9" s="45" customFormat="1" ht="15.75">
      <c r="A101" s="60" t="s">
        <v>109</v>
      </c>
      <c r="B101" s="61" t="s">
        <v>104</v>
      </c>
      <c r="C101" s="62" t="s">
        <v>149</v>
      </c>
      <c r="D101" s="63" t="s">
        <v>110</v>
      </c>
      <c r="E101" s="57"/>
      <c r="F101" s="64">
        <f>SUM(F102,F128,F115)</f>
        <v>4732611</v>
      </c>
      <c r="G101" s="64">
        <f>SUM(G102,G128,G115)</f>
        <v>13094981.69</v>
      </c>
      <c r="H101" s="64">
        <f>SUM(F101:G101)</f>
        <v>17827592.689999998</v>
      </c>
      <c r="I101" s="33"/>
    </row>
    <row r="102" spans="1:9" s="45" customFormat="1" ht="31.5">
      <c r="A102" s="65" t="s">
        <v>142</v>
      </c>
      <c r="B102" s="61" t="s">
        <v>104</v>
      </c>
      <c r="C102" s="62" t="s">
        <v>149</v>
      </c>
      <c r="D102" s="63" t="s">
        <v>143</v>
      </c>
      <c r="E102" s="63"/>
      <c r="F102" s="66">
        <f>SUM(F103,F106,F109,F112)</f>
        <v>1820000</v>
      </c>
      <c r="G102" s="66">
        <f>SUM(G103,G106,G109,G112)</f>
        <v>0</v>
      </c>
      <c r="H102" s="64">
        <f>SUM(F102:G102)</f>
        <v>1820000</v>
      </c>
      <c r="I102" s="33"/>
    </row>
    <row r="103" spans="1:9" s="45" customFormat="1" ht="47.25">
      <c r="A103" s="65" t="s">
        <v>198</v>
      </c>
      <c r="B103" s="61" t="s">
        <v>104</v>
      </c>
      <c r="C103" s="62" t="s">
        <v>149</v>
      </c>
      <c r="D103" s="63" t="s">
        <v>199</v>
      </c>
      <c r="E103" s="63"/>
      <c r="F103" s="66">
        <f>F104</f>
        <v>300000</v>
      </c>
      <c r="G103" s="66">
        <f>G104</f>
        <v>0</v>
      </c>
      <c r="H103" s="64">
        <f>SUM(F103:G103)</f>
        <v>300000</v>
      </c>
      <c r="I103" s="33"/>
    </row>
    <row r="104" spans="1:9" s="45" customFormat="1" ht="31.5">
      <c r="A104" s="68" t="s">
        <v>121</v>
      </c>
      <c r="B104" s="61" t="s">
        <v>104</v>
      </c>
      <c r="C104" s="62" t="s">
        <v>149</v>
      </c>
      <c r="D104" s="63" t="s">
        <v>199</v>
      </c>
      <c r="E104" s="63">
        <v>200</v>
      </c>
      <c r="F104" s="66">
        <f>F105</f>
        <v>300000</v>
      </c>
      <c r="G104" s="66">
        <f>G105</f>
        <v>0</v>
      </c>
      <c r="H104" s="64">
        <f>SUM(F104:G104)</f>
        <v>300000</v>
      </c>
      <c r="I104" s="33"/>
    </row>
    <row r="105" spans="1:9" s="45" customFormat="1" ht="31.5">
      <c r="A105" s="68" t="s">
        <v>123</v>
      </c>
      <c r="B105" s="61" t="s">
        <v>104</v>
      </c>
      <c r="C105" s="62" t="s">
        <v>149</v>
      </c>
      <c r="D105" s="63" t="s">
        <v>199</v>
      </c>
      <c r="E105" s="63">
        <v>240</v>
      </c>
      <c r="F105" s="66">
        <v>300000</v>
      </c>
      <c r="G105" s="66">
        <v>0</v>
      </c>
      <c r="H105" s="64">
        <f>SUM(F105:G105)</f>
        <v>300000</v>
      </c>
      <c r="I105" s="33"/>
    </row>
    <row r="106" spans="1:8" s="33" customFormat="1" ht="47.25">
      <c r="A106" s="65" t="s">
        <v>200</v>
      </c>
      <c r="B106" s="61" t="s">
        <v>104</v>
      </c>
      <c r="C106" s="62" t="s">
        <v>149</v>
      </c>
      <c r="D106" s="63" t="s">
        <v>201</v>
      </c>
      <c r="E106" s="63"/>
      <c r="F106" s="66">
        <f>F107</f>
        <v>200000</v>
      </c>
      <c r="G106" s="66">
        <f>G107</f>
        <v>0</v>
      </c>
      <c r="H106" s="64">
        <f>SUM(F106:G106)</f>
        <v>200000</v>
      </c>
    </row>
    <row r="107" spans="1:8" ht="31.5">
      <c r="A107" s="65" t="s">
        <v>167</v>
      </c>
      <c r="B107" s="61" t="s">
        <v>104</v>
      </c>
      <c r="C107" s="62" t="s">
        <v>149</v>
      </c>
      <c r="D107" s="63" t="s">
        <v>201</v>
      </c>
      <c r="E107" s="63">
        <v>600</v>
      </c>
      <c r="F107" s="66">
        <f>F108</f>
        <v>200000</v>
      </c>
      <c r="G107" s="66">
        <f>G108</f>
        <v>0</v>
      </c>
      <c r="H107" s="64">
        <f>SUM(F107:G107)</f>
        <v>200000</v>
      </c>
    </row>
    <row r="108" spans="1:9" s="45" customFormat="1" ht="31.5">
      <c r="A108" s="65" t="s">
        <v>177</v>
      </c>
      <c r="B108" s="61" t="s">
        <v>104</v>
      </c>
      <c r="C108" s="62" t="s">
        <v>149</v>
      </c>
      <c r="D108" s="63" t="s">
        <v>201</v>
      </c>
      <c r="E108" s="63">
        <v>630</v>
      </c>
      <c r="F108" s="69">
        <v>200000</v>
      </c>
      <c r="G108" s="69">
        <v>0</v>
      </c>
      <c r="H108" s="64">
        <f>SUM(F108:G108)</f>
        <v>200000</v>
      </c>
      <c r="I108" s="33"/>
    </row>
    <row r="109" spans="1:9" s="45" customFormat="1" ht="139.5" customHeight="1">
      <c r="A109" s="65" t="s">
        <v>202</v>
      </c>
      <c r="B109" s="61" t="s">
        <v>104</v>
      </c>
      <c r="C109" s="62" t="s">
        <v>149</v>
      </c>
      <c r="D109" s="63" t="s">
        <v>203</v>
      </c>
      <c r="E109" s="63"/>
      <c r="F109" s="69">
        <f>F110</f>
        <v>500000</v>
      </c>
      <c r="G109" s="69">
        <f>G110</f>
        <v>0</v>
      </c>
      <c r="H109" s="64">
        <f>SUM(F109:G109)</f>
        <v>500000</v>
      </c>
      <c r="I109" s="33"/>
    </row>
    <row r="110" spans="1:8" ht="31.5">
      <c r="A110" s="65" t="s">
        <v>167</v>
      </c>
      <c r="B110" s="61" t="s">
        <v>104</v>
      </c>
      <c r="C110" s="62" t="s">
        <v>149</v>
      </c>
      <c r="D110" s="63" t="s">
        <v>203</v>
      </c>
      <c r="E110" s="63">
        <v>600</v>
      </c>
      <c r="F110" s="69">
        <f>F111</f>
        <v>500000</v>
      </c>
      <c r="G110" s="69">
        <f>G111</f>
        <v>0</v>
      </c>
      <c r="H110" s="64">
        <f>SUM(F110:G110)</f>
        <v>500000</v>
      </c>
    </row>
    <row r="111" spans="1:8" ht="31.5">
      <c r="A111" s="65" t="s">
        <v>177</v>
      </c>
      <c r="B111" s="61" t="s">
        <v>104</v>
      </c>
      <c r="C111" s="62" t="s">
        <v>149</v>
      </c>
      <c r="D111" s="63" t="s">
        <v>203</v>
      </c>
      <c r="E111" s="63">
        <v>630</v>
      </c>
      <c r="F111" s="69">
        <v>500000</v>
      </c>
      <c r="G111" s="69">
        <v>0</v>
      </c>
      <c r="H111" s="64">
        <f>SUM(F111:G111)</f>
        <v>500000</v>
      </c>
    </row>
    <row r="112" spans="1:8" ht="63">
      <c r="A112" s="84" t="s">
        <v>204</v>
      </c>
      <c r="B112" s="61" t="s">
        <v>104</v>
      </c>
      <c r="C112" s="62" t="s">
        <v>149</v>
      </c>
      <c r="D112" s="63" t="s">
        <v>205</v>
      </c>
      <c r="E112" s="63"/>
      <c r="F112" s="66">
        <f>F113</f>
        <v>820000</v>
      </c>
      <c r="G112" s="66">
        <f>G113</f>
        <v>0</v>
      </c>
      <c r="H112" s="64">
        <f>SUM(F112:G112)</f>
        <v>820000</v>
      </c>
    </row>
    <row r="113" spans="1:9" s="45" customFormat="1" ht="15.75">
      <c r="A113" s="68" t="s">
        <v>129</v>
      </c>
      <c r="B113" s="61" t="s">
        <v>104</v>
      </c>
      <c r="C113" s="62" t="s">
        <v>149</v>
      </c>
      <c r="D113" s="63" t="s">
        <v>205</v>
      </c>
      <c r="E113" s="63">
        <v>800</v>
      </c>
      <c r="F113" s="66">
        <f>F114</f>
        <v>820000</v>
      </c>
      <c r="G113" s="66">
        <f>G114</f>
        <v>0</v>
      </c>
      <c r="H113" s="64">
        <f>SUM(F113:G113)</f>
        <v>820000</v>
      </c>
      <c r="I113" s="33"/>
    </row>
    <row r="114" spans="1:9" s="45" customFormat="1" ht="15.75">
      <c r="A114" s="68" t="s">
        <v>131</v>
      </c>
      <c r="B114" s="61" t="s">
        <v>104</v>
      </c>
      <c r="C114" s="62" t="s">
        <v>149</v>
      </c>
      <c r="D114" s="63" t="s">
        <v>205</v>
      </c>
      <c r="E114" s="63">
        <v>850</v>
      </c>
      <c r="F114" s="69">
        <v>820000</v>
      </c>
      <c r="G114" s="69">
        <v>0</v>
      </c>
      <c r="H114" s="64">
        <f>SUM(F114:G114)</f>
        <v>820000</v>
      </c>
      <c r="I114" s="33"/>
    </row>
    <row r="115" spans="1:9" s="45" customFormat="1" ht="47.25">
      <c r="A115" s="65" t="s">
        <v>135</v>
      </c>
      <c r="B115" s="61" t="s">
        <v>104</v>
      </c>
      <c r="C115" s="62" t="s">
        <v>149</v>
      </c>
      <c r="D115" s="63" t="s">
        <v>136</v>
      </c>
      <c r="E115" s="63"/>
      <c r="F115" s="66">
        <f>SUM(F122,F125,F116,F119)</f>
        <v>2012611</v>
      </c>
      <c r="G115" s="66">
        <f>SUM(G122,G125,G116,G119)</f>
        <v>13054681.69</v>
      </c>
      <c r="H115" s="64">
        <f>SUM(F115:G115)</f>
        <v>15067292.69</v>
      </c>
      <c r="I115" s="33"/>
    </row>
    <row r="116" spans="1:9" s="45" customFormat="1" ht="33.75" customHeight="1">
      <c r="A116" s="65" t="s">
        <v>206</v>
      </c>
      <c r="B116" s="61" t="s">
        <v>104</v>
      </c>
      <c r="C116" s="62" t="s">
        <v>149</v>
      </c>
      <c r="D116" s="63" t="s">
        <v>207</v>
      </c>
      <c r="E116" s="63"/>
      <c r="F116" s="66">
        <f>F117</f>
        <v>0</v>
      </c>
      <c r="G116" s="66">
        <f>G117</f>
        <v>10487595.67</v>
      </c>
      <c r="H116" s="64">
        <f>SUM(F116:G116)</f>
        <v>10487595.67</v>
      </c>
      <c r="I116" s="33"/>
    </row>
    <row r="117" spans="1:9" s="45" customFormat="1" ht="31.5">
      <c r="A117" s="68" t="s">
        <v>167</v>
      </c>
      <c r="B117" s="61" t="s">
        <v>104</v>
      </c>
      <c r="C117" s="62" t="s">
        <v>149</v>
      </c>
      <c r="D117" s="63" t="s">
        <v>207</v>
      </c>
      <c r="E117" s="63">
        <v>600</v>
      </c>
      <c r="F117" s="66">
        <f>F118</f>
        <v>0</v>
      </c>
      <c r="G117" s="66">
        <f>G118</f>
        <v>10487595.67</v>
      </c>
      <c r="H117" s="64">
        <f>SUM(F117:G117)</f>
        <v>10487595.67</v>
      </c>
      <c r="I117" s="33"/>
    </row>
    <row r="118" spans="1:9" s="45" customFormat="1" ht="15.75">
      <c r="A118" s="68" t="s">
        <v>168</v>
      </c>
      <c r="B118" s="61" t="s">
        <v>104</v>
      </c>
      <c r="C118" s="62" t="s">
        <v>149</v>
      </c>
      <c r="D118" s="63" t="s">
        <v>207</v>
      </c>
      <c r="E118" s="63">
        <v>610</v>
      </c>
      <c r="F118" s="66">
        <v>0</v>
      </c>
      <c r="G118" s="66">
        <v>10487595.67</v>
      </c>
      <c r="H118" s="64">
        <f>SUM(F118:G118)</f>
        <v>10487595.67</v>
      </c>
      <c r="I118" s="33"/>
    </row>
    <row r="119" spans="1:9" s="45" customFormat="1" ht="76.5" customHeight="1">
      <c r="A119" s="68" t="s">
        <v>208</v>
      </c>
      <c r="B119" s="61" t="s">
        <v>104</v>
      </c>
      <c r="C119" s="62" t="s">
        <v>149</v>
      </c>
      <c r="D119" s="63" t="s">
        <v>209</v>
      </c>
      <c r="E119" s="63"/>
      <c r="F119" s="66">
        <f>F120</f>
        <v>0</v>
      </c>
      <c r="G119" s="66">
        <f>G120</f>
        <v>2680414.02</v>
      </c>
      <c r="H119" s="64">
        <f>SUM(F119:G119)</f>
        <v>2680414.02</v>
      </c>
      <c r="I119" s="33"/>
    </row>
    <row r="120" spans="1:9" s="45" customFormat="1" ht="31.5">
      <c r="A120" s="68" t="s">
        <v>167</v>
      </c>
      <c r="B120" s="61" t="s">
        <v>104</v>
      </c>
      <c r="C120" s="62" t="s">
        <v>149</v>
      </c>
      <c r="D120" s="63" t="s">
        <v>209</v>
      </c>
      <c r="E120" s="63">
        <v>600</v>
      </c>
      <c r="F120" s="66">
        <f>F121</f>
        <v>0</v>
      </c>
      <c r="G120" s="66">
        <f>G121</f>
        <v>2680414.02</v>
      </c>
      <c r="H120" s="64">
        <f>SUM(F120:G120)</f>
        <v>2680414.02</v>
      </c>
      <c r="I120" s="33"/>
    </row>
    <row r="121" spans="1:9" s="45" customFormat="1" ht="15.75">
      <c r="A121" s="68" t="s">
        <v>168</v>
      </c>
      <c r="B121" s="61" t="s">
        <v>104</v>
      </c>
      <c r="C121" s="62" t="s">
        <v>149</v>
      </c>
      <c r="D121" s="63" t="s">
        <v>209</v>
      </c>
      <c r="E121" s="63">
        <v>610</v>
      </c>
      <c r="F121" s="66">
        <v>0</v>
      </c>
      <c r="G121" s="66">
        <v>2680414.02</v>
      </c>
      <c r="H121" s="64">
        <f>SUM(F121:G121)</f>
        <v>2680414.02</v>
      </c>
      <c r="I121" s="33"/>
    </row>
    <row r="122" spans="1:9" s="45" customFormat="1" ht="31.5">
      <c r="A122" s="65" t="s">
        <v>210</v>
      </c>
      <c r="B122" s="61" t="s">
        <v>104</v>
      </c>
      <c r="C122" s="62" t="s">
        <v>149</v>
      </c>
      <c r="D122" s="63" t="s">
        <v>211</v>
      </c>
      <c r="E122" s="63"/>
      <c r="F122" s="69">
        <f>F123</f>
        <v>1870001</v>
      </c>
      <c r="G122" s="69">
        <f>G123</f>
        <v>-113328</v>
      </c>
      <c r="H122" s="64">
        <f>SUM(F122:G122)</f>
        <v>1756673</v>
      </c>
      <c r="I122" s="33"/>
    </row>
    <row r="123" spans="1:9" s="45" customFormat="1" ht="31.5">
      <c r="A123" s="68" t="s">
        <v>121</v>
      </c>
      <c r="B123" s="61" t="s">
        <v>104</v>
      </c>
      <c r="C123" s="62" t="s">
        <v>149</v>
      </c>
      <c r="D123" s="63" t="s">
        <v>211</v>
      </c>
      <c r="E123" s="63">
        <v>200</v>
      </c>
      <c r="F123" s="69">
        <f>F124</f>
        <v>1870001</v>
      </c>
      <c r="G123" s="69">
        <f>G124</f>
        <v>-113328</v>
      </c>
      <c r="H123" s="64">
        <f>SUM(F123:G123)</f>
        <v>1756673</v>
      </c>
      <c r="I123" s="33"/>
    </row>
    <row r="124" spans="1:9" s="45" customFormat="1" ht="31.5">
      <c r="A124" s="65" t="s">
        <v>123</v>
      </c>
      <c r="B124" s="61" t="s">
        <v>104</v>
      </c>
      <c r="C124" s="62" t="s">
        <v>149</v>
      </c>
      <c r="D124" s="63" t="s">
        <v>211</v>
      </c>
      <c r="E124" s="63">
        <v>240</v>
      </c>
      <c r="F124" s="66">
        <v>1870001</v>
      </c>
      <c r="G124" s="66">
        <v>-113328</v>
      </c>
      <c r="H124" s="64">
        <f>SUM(F124:G124)</f>
        <v>1756673</v>
      </c>
      <c r="I124" s="33"/>
    </row>
    <row r="125" spans="1:9" s="45" customFormat="1" ht="31.5">
      <c r="A125" s="68" t="s">
        <v>212</v>
      </c>
      <c r="B125" s="61" t="s">
        <v>104</v>
      </c>
      <c r="C125" s="62" t="s">
        <v>149</v>
      </c>
      <c r="D125" s="63" t="s">
        <v>213</v>
      </c>
      <c r="E125" s="63"/>
      <c r="F125" s="69">
        <f>F126</f>
        <v>142610</v>
      </c>
      <c r="G125" s="69">
        <f>G126</f>
        <v>0</v>
      </c>
      <c r="H125" s="64">
        <f>SUM(F125:G125)</f>
        <v>142610</v>
      </c>
      <c r="I125" s="33"/>
    </row>
    <row r="126" spans="1:9" s="45" customFormat="1" ht="31.5">
      <c r="A126" s="68" t="s">
        <v>121</v>
      </c>
      <c r="B126" s="61" t="s">
        <v>104</v>
      </c>
      <c r="C126" s="62" t="s">
        <v>149</v>
      </c>
      <c r="D126" s="63" t="s">
        <v>213</v>
      </c>
      <c r="E126" s="63">
        <v>200</v>
      </c>
      <c r="F126" s="69">
        <f>F127</f>
        <v>142610</v>
      </c>
      <c r="G126" s="69">
        <f>G127</f>
        <v>0</v>
      </c>
      <c r="H126" s="64">
        <f>SUM(F126:G126)</f>
        <v>142610</v>
      </c>
      <c r="I126" s="33"/>
    </row>
    <row r="127" spans="1:9" s="45" customFormat="1" ht="31.5">
      <c r="A127" s="68" t="s">
        <v>123</v>
      </c>
      <c r="B127" s="61" t="s">
        <v>104</v>
      </c>
      <c r="C127" s="62" t="s">
        <v>149</v>
      </c>
      <c r="D127" s="63" t="s">
        <v>213</v>
      </c>
      <c r="E127" s="63">
        <v>240</v>
      </c>
      <c r="F127" s="69">
        <f>128349+14261</f>
        <v>142610</v>
      </c>
      <c r="G127" s="69">
        <v>0</v>
      </c>
      <c r="H127" s="64">
        <f>SUM(F127:G127)</f>
        <v>142610</v>
      </c>
      <c r="I127" s="33"/>
    </row>
    <row r="128" spans="1:9" s="45" customFormat="1" ht="15.75">
      <c r="A128" s="65" t="s">
        <v>214</v>
      </c>
      <c r="B128" s="61" t="s">
        <v>104</v>
      </c>
      <c r="C128" s="62" t="s">
        <v>149</v>
      </c>
      <c r="D128" s="63" t="s">
        <v>215</v>
      </c>
      <c r="E128" s="63"/>
      <c r="F128" s="66">
        <f>SUM(F129,F132,F135)</f>
        <v>900000</v>
      </c>
      <c r="G128" s="66">
        <f>SUM(G129,G132,G135)</f>
        <v>40300</v>
      </c>
      <c r="H128" s="64">
        <f>SUM(F128:G128)</f>
        <v>940300</v>
      </c>
      <c r="I128" s="33"/>
    </row>
    <row r="129" spans="1:9" s="45" customFormat="1" ht="31.5">
      <c r="A129" s="65" t="s">
        <v>216</v>
      </c>
      <c r="B129" s="61" t="s">
        <v>104</v>
      </c>
      <c r="C129" s="62" t="s">
        <v>149</v>
      </c>
      <c r="D129" s="63" t="s">
        <v>217</v>
      </c>
      <c r="E129" s="63"/>
      <c r="F129" s="66">
        <f>F130</f>
        <v>400000</v>
      </c>
      <c r="G129" s="66">
        <f>G130</f>
        <v>0</v>
      </c>
      <c r="H129" s="64">
        <f>SUM(F129:G129)</f>
        <v>400000</v>
      </c>
      <c r="I129" s="33"/>
    </row>
    <row r="130" spans="1:9" s="86" customFormat="1" ht="31.5">
      <c r="A130" s="68" t="s">
        <v>121</v>
      </c>
      <c r="B130" s="61" t="s">
        <v>104</v>
      </c>
      <c r="C130" s="62" t="s">
        <v>149</v>
      </c>
      <c r="D130" s="63" t="s">
        <v>217</v>
      </c>
      <c r="E130" s="63">
        <v>200</v>
      </c>
      <c r="F130" s="66">
        <f>F131</f>
        <v>400000</v>
      </c>
      <c r="G130" s="66">
        <f>G131</f>
        <v>0</v>
      </c>
      <c r="H130" s="64">
        <f>SUM(F130:G130)</f>
        <v>400000</v>
      </c>
      <c r="I130" s="85"/>
    </row>
    <row r="131" spans="1:9" s="45" customFormat="1" ht="31.5">
      <c r="A131" s="68" t="s">
        <v>123</v>
      </c>
      <c r="B131" s="61" t="s">
        <v>104</v>
      </c>
      <c r="C131" s="62" t="s">
        <v>149</v>
      </c>
      <c r="D131" s="63" t="s">
        <v>217</v>
      </c>
      <c r="E131" s="63">
        <v>240</v>
      </c>
      <c r="F131" s="66">
        <v>400000</v>
      </c>
      <c r="G131" s="66">
        <v>0</v>
      </c>
      <c r="H131" s="64">
        <f>SUM(F131:G131)</f>
        <v>400000</v>
      </c>
      <c r="I131" s="33"/>
    </row>
    <row r="132" spans="1:9" s="45" customFormat="1" ht="15.75">
      <c r="A132" s="65" t="s">
        <v>218</v>
      </c>
      <c r="B132" s="61" t="s">
        <v>104</v>
      </c>
      <c r="C132" s="62" t="s">
        <v>149</v>
      </c>
      <c r="D132" s="63" t="s">
        <v>219</v>
      </c>
      <c r="E132" s="63"/>
      <c r="F132" s="66">
        <f>F133</f>
        <v>500000</v>
      </c>
      <c r="G132" s="66">
        <f>G133</f>
        <v>0</v>
      </c>
      <c r="H132" s="64">
        <f>SUM(F132:G132)</f>
        <v>500000</v>
      </c>
      <c r="I132" s="33"/>
    </row>
    <row r="133" spans="1:9" s="45" customFormat="1" ht="15.75">
      <c r="A133" s="68" t="s">
        <v>129</v>
      </c>
      <c r="B133" s="61" t="s">
        <v>104</v>
      </c>
      <c r="C133" s="62" t="s">
        <v>149</v>
      </c>
      <c r="D133" s="63" t="s">
        <v>219</v>
      </c>
      <c r="E133" s="63">
        <v>800</v>
      </c>
      <c r="F133" s="66">
        <f>F134</f>
        <v>500000</v>
      </c>
      <c r="G133" s="66">
        <f>G134</f>
        <v>0</v>
      </c>
      <c r="H133" s="64">
        <f>SUM(F133:G133)</f>
        <v>500000</v>
      </c>
      <c r="I133" s="33"/>
    </row>
    <row r="134" spans="1:9" s="45" customFormat="1" ht="15.75">
      <c r="A134" s="65" t="s">
        <v>218</v>
      </c>
      <c r="B134" s="61" t="s">
        <v>104</v>
      </c>
      <c r="C134" s="62" t="s">
        <v>149</v>
      </c>
      <c r="D134" s="63" t="s">
        <v>219</v>
      </c>
      <c r="E134" s="63">
        <v>830</v>
      </c>
      <c r="F134" s="66">
        <v>500000</v>
      </c>
      <c r="G134" s="66">
        <v>0</v>
      </c>
      <c r="H134" s="64">
        <f>SUM(F134:G134)</f>
        <v>500000</v>
      </c>
      <c r="I134" s="33"/>
    </row>
    <row r="135" spans="1:9" s="45" customFormat="1" ht="45.75" customHeight="1">
      <c r="A135" s="65" t="s">
        <v>220</v>
      </c>
      <c r="B135" s="61" t="s">
        <v>104</v>
      </c>
      <c r="C135" s="62" t="s">
        <v>149</v>
      </c>
      <c r="D135" s="63" t="s">
        <v>221</v>
      </c>
      <c r="E135" s="63"/>
      <c r="F135" s="66">
        <f>F136</f>
        <v>0</v>
      </c>
      <c r="G135" s="66">
        <f>G136</f>
        <v>40300</v>
      </c>
      <c r="H135" s="64">
        <f>SUM(F135:G135)</f>
        <v>40300</v>
      </c>
      <c r="I135" s="33"/>
    </row>
    <row r="136" spans="1:9" s="45" customFormat="1" ht="31.5">
      <c r="A136" s="68" t="s">
        <v>121</v>
      </c>
      <c r="B136" s="61" t="s">
        <v>104</v>
      </c>
      <c r="C136" s="62" t="s">
        <v>149</v>
      </c>
      <c r="D136" s="63" t="s">
        <v>221</v>
      </c>
      <c r="E136" s="63">
        <v>200</v>
      </c>
      <c r="F136" s="66">
        <f>F137</f>
        <v>0</v>
      </c>
      <c r="G136" s="66">
        <f>G137</f>
        <v>40300</v>
      </c>
      <c r="H136" s="64">
        <f>SUM(F136:G136)</f>
        <v>40300</v>
      </c>
      <c r="I136" s="33"/>
    </row>
    <row r="137" spans="1:9" s="45" customFormat="1" ht="31.5">
      <c r="A137" s="68" t="s">
        <v>123</v>
      </c>
      <c r="B137" s="61" t="s">
        <v>104</v>
      </c>
      <c r="C137" s="62" t="s">
        <v>149</v>
      </c>
      <c r="D137" s="63" t="s">
        <v>221</v>
      </c>
      <c r="E137" s="63">
        <v>240</v>
      </c>
      <c r="F137" s="66">
        <v>0</v>
      </c>
      <c r="G137" s="66">
        <v>40300</v>
      </c>
      <c r="H137" s="64">
        <f>SUM(F137:G137)</f>
        <v>40300</v>
      </c>
      <c r="I137" s="33"/>
    </row>
    <row r="138" spans="1:9" s="45" customFormat="1" ht="31.5">
      <c r="A138" s="52" t="s">
        <v>222</v>
      </c>
      <c r="B138" s="87" t="s">
        <v>104</v>
      </c>
      <c r="C138" s="53" t="s">
        <v>223</v>
      </c>
      <c r="D138" s="63"/>
      <c r="E138" s="63"/>
      <c r="F138" s="88">
        <f>SUM(F139,F147)</f>
        <v>36213220</v>
      </c>
      <c r="G138" s="88">
        <f>SUM(G139,G147)</f>
        <v>1418000</v>
      </c>
      <c r="H138" s="54">
        <f>SUM(F138:G138)</f>
        <v>37631220</v>
      </c>
      <c r="I138" s="33"/>
    </row>
    <row r="139" spans="1:9" s="45" customFormat="1" ht="15.75">
      <c r="A139" s="55" t="s">
        <v>224</v>
      </c>
      <c r="B139" s="56" t="s">
        <v>104</v>
      </c>
      <c r="C139" s="57" t="s">
        <v>225</v>
      </c>
      <c r="D139" s="71"/>
      <c r="E139" s="71"/>
      <c r="F139" s="72">
        <f>F140</f>
        <v>4628220</v>
      </c>
      <c r="G139" s="72">
        <f>G140</f>
        <v>0</v>
      </c>
      <c r="H139" s="58">
        <f>SUM(F139:G139)</f>
        <v>4628220</v>
      </c>
      <c r="I139" s="33"/>
    </row>
    <row r="140" spans="1:9" s="45" customFormat="1" ht="15.75">
      <c r="A140" s="60" t="s">
        <v>109</v>
      </c>
      <c r="B140" s="61" t="s">
        <v>104</v>
      </c>
      <c r="C140" s="62" t="s">
        <v>225</v>
      </c>
      <c r="D140" s="63" t="s">
        <v>110</v>
      </c>
      <c r="E140" s="57"/>
      <c r="F140" s="66">
        <f>F141</f>
        <v>4628220</v>
      </c>
      <c r="G140" s="66">
        <f>G141</f>
        <v>0</v>
      </c>
      <c r="H140" s="64">
        <f>SUM(F140:G140)</f>
        <v>4628220</v>
      </c>
      <c r="I140" s="33"/>
    </row>
    <row r="141" spans="1:9" s="45" customFormat="1" ht="31.5">
      <c r="A141" s="65" t="s">
        <v>111</v>
      </c>
      <c r="B141" s="61" t="s">
        <v>104</v>
      </c>
      <c r="C141" s="62" t="s">
        <v>225</v>
      </c>
      <c r="D141" s="63" t="s">
        <v>112</v>
      </c>
      <c r="E141" s="63"/>
      <c r="F141" s="66">
        <f>F142</f>
        <v>4628220</v>
      </c>
      <c r="G141" s="66">
        <f>G142</f>
        <v>0</v>
      </c>
      <c r="H141" s="64">
        <f>SUM(F141:G141)</f>
        <v>4628220</v>
      </c>
      <c r="I141" s="33"/>
    </row>
    <row r="142" spans="1:9" s="45" customFormat="1" ht="31.5">
      <c r="A142" s="68" t="s">
        <v>226</v>
      </c>
      <c r="B142" s="61" t="s">
        <v>104</v>
      </c>
      <c r="C142" s="62" t="s">
        <v>225</v>
      </c>
      <c r="D142" s="63" t="s">
        <v>227</v>
      </c>
      <c r="E142" s="62"/>
      <c r="F142" s="66">
        <f>F143+F145</f>
        <v>4628220</v>
      </c>
      <c r="G142" s="66">
        <f>G143+G145</f>
        <v>0</v>
      </c>
      <c r="H142" s="64">
        <f>SUM(F142:G142)</f>
        <v>4628220</v>
      </c>
      <c r="I142" s="33"/>
    </row>
    <row r="143" spans="1:9" s="45" customFormat="1" ht="72" customHeight="1">
      <c r="A143" s="67" t="s">
        <v>115</v>
      </c>
      <c r="B143" s="61" t="s">
        <v>104</v>
      </c>
      <c r="C143" s="62" t="s">
        <v>225</v>
      </c>
      <c r="D143" s="63" t="s">
        <v>227</v>
      </c>
      <c r="E143" s="62" t="s">
        <v>116</v>
      </c>
      <c r="F143" s="66">
        <f>F144</f>
        <v>3892220</v>
      </c>
      <c r="G143" s="66">
        <f>G144</f>
        <v>-178956.84</v>
      </c>
      <c r="H143" s="64">
        <f>SUM(F143:G143)</f>
        <v>3713263.16</v>
      </c>
      <c r="I143" s="33"/>
    </row>
    <row r="144" spans="1:9" s="45" customFormat="1" ht="31.5">
      <c r="A144" s="67" t="s">
        <v>117</v>
      </c>
      <c r="B144" s="61" t="s">
        <v>104</v>
      </c>
      <c r="C144" s="62" t="s">
        <v>225</v>
      </c>
      <c r="D144" s="63" t="s">
        <v>227</v>
      </c>
      <c r="E144" s="62" t="s">
        <v>118</v>
      </c>
      <c r="F144" s="66">
        <v>3892220</v>
      </c>
      <c r="G144" s="66">
        <f>-29162.32-88311.37-50000-11483.15</f>
        <v>-178956.84</v>
      </c>
      <c r="H144" s="64">
        <f>SUM(F144:G144)</f>
        <v>3713263.16</v>
      </c>
      <c r="I144" s="33"/>
    </row>
    <row r="145" spans="1:9" s="45" customFormat="1" ht="31.5">
      <c r="A145" s="68" t="s">
        <v>121</v>
      </c>
      <c r="B145" s="61" t="s">
        <v>104</v>
      </c>
      <c r="C145" s="62" t="s">
        <v>225</v>
      </c>
      <c r="D145" s="63" t="s">
        <v>227</v>
      </c>
      <c r="E145" s="62" t="s">
        <v>122</v>
      </c>
      <c r="F145" s="66">
        <f>F146</f>
        <v>736000</v>
      </c>
      <c r="G145" s="66">
        <f>G146</f>
        <v>178956.84</v>
      </c>
      <c r="H145" s="64">
        <f>SUM(F145:G145)</f>
        <v>914956.84</v>
      </c>
      <c r="I145" s="33"/>
    </row>
    <row r="146" spans="1:9" s="45" customFormat="1" ht="31.5">
      <c r="A146" s="67" t="s">
        <v>123</v>
      </c>
      <c r="B146" s="61" t="s">
        <v>104</v>
      </c>
      <c r="C146" s="62" t="s">
        <v>225</v>
      </c>
      <c r="D146" s="63" t="s">
        <v>227</v>
      </c>
      <c r="E146" s="62" t="s">
        <v>124</v>
      </c>
      <c r="F146" s="66">
        <v>736000</v>
      </c>
      <c r="G146" s="66">
        <f>29162.32+88311.37+50000+11483.15</f>
        <v>178956.84</v>
      </c>
      <c r="H146" s="64">
        <f>SUM(F146:G146)</f>
        <v>914956.84</v>
      </c>
      <c r="I146" s="33"/>
    </row>
    <row r="147" spans="1:9" s="45" customFormat="1" ht="47.25">
      <c r="A147" s="55" t="s">
        <v>228</v>
      </c>
      <c r="B147" s="56" t="s">
        <v>104</v>
      </c>
      <c r="C147" s="57" t="s">
        <v>229</v>
      </c>
      <c r="D147" s="63"/>
      <c r="E147" s="63"/>
      <c r="F147" s="72">
        <f>SUM(F148)</f>
        <v>31585000</v>
      </c>
      <c r="G147" s="72">
        <f>SUM(G148)</f>
        <v>1418000</v>
      </c>
      <c r="H147" s="58">
        <f>SUM(F147:G147)</f>
        <v>33003000</v>
      </c>
      <c r="I147" s="33"/>
    </row>
    <row r="148" spans="1:9" s="45" customFormat="1" ht="31.5">
      <c r="A148" s="65" t="s">
        <v>230</v>
      </c>
      <c r="B148" s="61" t="s">
        <v>104</v>
      </c>
      <c r="C148" s="62" t="s">
        <v>229</v>
      </c>
      <c r="D148" s="63" t="s">
        <v>170</v>
      </c>
      <c r="E148" s="63"/>
      <c r="F148" s="66">
        <f>F149</f>
        <v>31585000</v>
      </c>
      <c r="G148" s="66">
        <f>G149</f>
        <v>1418000</v>
      </c>
      <c r="H148" s="64">
        <f>SUM(F148:G148)</f>
        <v>33003000</v>
      </c>
      <c r="I148" s="33"/>
    </row>
    <row r="149" spans="1:9" s="45" customFormat="1" ht="31.5">
      <c r="A149" s="83" t="s">
        <v>231</v>
      </c>
      <c r="B149" s="61" t="s">
        <v>104</v>
      </c>
      <c r="C149" s="62" t="s">
        <v>229</v>
      </c>
      <c r="D149" s="63" t="s">
        <v>232</v>
      </c>
      <c r="E149" s="63"/>
      <c r="F149" s="69">
        <f>F150+F157</f>
        <v>31585000</v>
      </c>
      <c r="G149" s="69">
        <f>G150+G157</f>
        <v>1418000</v>
      </c>
      <c r="H149" s="64">
        <f>SUM(F149:G149)</f>
        <v>33003000</v>
      </c>
      <c r="I149" s="33"/>
    </row>
    <row r="150" spans="1:9" s="45" customFormat="1" ht="63">
      <c r="A150" s="83" t="s">
        <v>233</v>
      </c>
      <c r="B150" s="61" t="s">
        <v>104</v>
      </c>
      <c r="C150" s="62" t="s">
        <v>229</v>
      </c>
      <c r="D150" s="63" t="s">
        <v>234</v>
      </c>
      <c r="E150" s="63"/>
      <c r="F150" s="69">
        <f>SUM(F151,F153,F155)</f>
        <v>30755000</v>
      </c>
      <c r="G150" s="69">
        <f>SUM(G151,G153,G155)</f>
        <v>1418000</v>
      </c>
      <c r="H150" s="64">
        <f>SUM(F150:G150)</f>
        <v>32173000</v>
      </c>
      <c r="I150" s="33"/>
    </row>
    <row r="151" spans="1:9" s="45" customFormat="1" ht="67.5" customHeight="1">
      <c r="A151" s="67" t="s">
        <v>115</v>
      </c>
      <c r="B151" s="61" t="s">
        <v>104</v>
      </c>
      <c r="C151" s="62" t="s">
        <v>229</v>
      </c>
      <c r="D151" s="63" t="s">
        <v>234</v>
      </c>
      <c r="E151" s="63">
        <v>100</v>
      </c>
      <c r="F151" s="69">
        <f>F152</f>
        <v>26500000</v>
      </c>
      <c r="G151" s="69">
        <f>G152</f>
        <v>0</v>
      </c>
      <c r="H151" s="64">
        <f>SUM(F151:G151)</f>
        <v>26500000</v>
      </c>
      <c r="I151" s="33"/>
    </row>
    <row r="152" spans="1:9" s="45" customFormat="1" ht="15.75">
      <c r="A152" s="67" t="s">
        <v>160</v>
      </c>
      <c r="B152" s="61" t="s">
        <v>104</v>
      </c>
      <c r="C152" s="62" t="s">
        <v>229</v>
      </c>
      <c r="D152" s="63" t="s">
        <v>234</v>
      </c>
      <c r="E152" s="63">
        <v>110</v>
      </c>
      <c r="F152" s="69">
        <v>26500000</v>
      </c>
      <c r="G152" s="69"/>
      <c r="H152" s="64">
        <f>SUM(F152:G152)</f>
        <v>26500000</v>
      </c>
      <c r="I152" s="33"/>
    </row>
    <row r="153" spans="1:9" s="45" customFormat="1" ht="31.5">
      <c r="A153" s="68" t="s">
        <v>121</v>
      </c>
      <c r="B153" s="61" t="s">
        <v>104</v>
      </c>
      <c r="C153" s="62" t="s">
        <v>229</v>
      </c>
      <c r="D153" s="63" t="s">
        <v>234</v>
      </c>
      <c r="E153" s="63">
        <v>200</v>
      </c>
      <c r="F153" s="69">
        <f>F154</f>
        <v>4200000</v>
      </c>
      <c r="G153" s="69">
        <f>G154</f>
        <v>1418000</v>
      </c>
      <c r="H153" s="64">
        <f>SUM(F153:G153)</f>
        <v>5618000</v>
      </c>
      <c r="I153" s="33"/>
    </row>
    <row r="154" spans="1:9" s="45" customFormat="1" ht="31.5">
      <c r="A154" s="68" t="s">
        <v>123</v>
      </c>
      <c r="B154" s="61" t="s">
        <v>104</v>
      </c>
      <c r="C154" s="62" t="s">
        <v>229</v>
      </c>
      <c r="D154" s="63" t="s">
        <v>234</v>
      </c>
      <c r="E154" s="63">
        <v>240</v>
      </c>
      <c r="F154" s="69">
        <v>4200000</v>
      </c>
      <c r="G154" s="69">
        <v>1418000</v>
      </c>
      <c r="H154" s="64">
        <f>SUM(F154:G154)</f>
        <v>5618000</v>
      </c>
      <c r="I154" s="33"/>
    </row>
    <row r="155" spans="1:9" s="45" customFormat="1" ht="15.75">
      <c r="A155" s="68" t="s">
        <v>129</v>
      </c>
      <c r="B155" s="61" t="s">
        <v>104</v>
      </c>
      <c r="C155" s="62" t="s">
        <v>229</v>
      </c>
      <c r="D155" s="63" t="s">
        <v>234</v>
      </c>
      <c r="E155" s="63">
        <v>800</v>
      </c>
      <c r="F155" s="69">
        <f>F156</f>
        <v>55000</v>
      </c>
      <c r="G155" s="69">
        <f>G156</f>
        <v>0</v>
      </c>
      <c r="H155" s="64">
        <f>SUM(F155:G155)</f>
        <v>55000</v>
      </c>
      <c r="I155" s="33"/>
    </row>
    <row r="156" spans="1:9" s="45" customFormat="1" ht="15.75">
      <c r="A156" s="68" t="s">
        <v>131</v>
      </c>
      <c r="B156" s="61" t="s">
        <v>104</v>
      </c>
      <c r="C156" s="62" t="s">
        <v>229</v>
      </c>
      <c r="D156" s="63" t="s">
        <v>234</v>
      </c>
      <c r="E156" s="63">
        <v>850</v>
      </c>
      <c r="F156" s="69">
        <v>55000</v>
      </c>
      <c r="G156" s="69">
        <v>0</v>
      </c>
      <c r="H156" s="64">
        <f>SUM(F156:G156)</f>
        <v>55000</v>
      </c>
      <c r="I156" s="33"/>
    </row>
    <row r="157" spans="1:9" s="45" customFormat="1" ht="31.5">
      <c r="A157" s="83" t="s">
        <v>235</v>
      </c>
      <c r="B157" s="61" t="s">
        <v>104</v>
      </c>
      <c r="C157" s="62" t="s">
        <v>229</v>
      </c>
      <c r="D157" s="63" t="s">
        <v>236</v>
      </c>
      <c r="E157" s="63"/>
      <c r="F157" s="69">
        <f>F158</f>
        <v>830000</v>
      </c>
      <c r="G157" s="69">
        <f>G158</f>
        <v>0</v>
      </c>
      <c r="H157" s="64">
        <f>SUM(F157:G157)</f>
        <v>830000</v>
      </c>
      <c r="I157" s="33"/>
    </row>
    <row r="158" spans="1:9" s="45" customFormat="1" ht="31.5">
      <c r="A158" s="68" t="s">
        <v>121</v>
      </c>
      <c r="B158" s="61" t="s">
        <v>104</v>
      </c>
      <c r="C158" s="62" t="s">
        <v>229</v>
      </c>
      <c r="D158" s="63" t="s">
        <v>236</v>
      </c>
      <c r="E158" s="63">
        <v>200</v>
      </c>
      <c r="F158" s="69">
        <f>F159</f>
        <v>830000</v>
      </c>
      <c r="G158" s="69">
        <f>G159</f>
        <v>0</v>
      </c>
      <c r="H158" s="64">
        <f>SUM(F158:G158)</f>
        <v>830000</v>
      </c>
      <c r="I158" s="33"/>
    </row>
    <row r="159" spans="1:9" s="45" customFormat="1" ht="31.5">
      <c r="A159" s="68" t="s">
        <v>123</v>
      </c>
      <c r="B159" s="61" t="s">
        <v>104</v>
      </c>
      <c r="C159" s="62" t="s">
        <v>229</v>
      </c>
      <c r="D159" s="63" t="s">
        <v>236</v>
      </c>
      <c r="E159" s="63">
        <v>240</v>
      </c>
      <c r="F159" s="69">
        <v>830000</v>
      </c>
      <c r="G159" s="69">
        <v>0</v>
      </c>
      <c r="H159" s="64">
        <f>SUM(F159:G159)</f>
        <v>830000</v>
      </c>
      <c r="I159" s="33"/>
    </row>
    <row r="160" spans="1:9" s="45" customFormat="1" ht="15.75">
      <c r="A160" s="52" t="s">
        <v>237</v>
      </c>
      <c r="B160" s="87" t="s">
        <v>104</v>
      </c>
      <c r="C160" s="53" t="s">
        <v>238</v>
      </c>
      <c r="D160" s="82"/>
      <c r="E160" s="82"/>
      <c r="F160" s="88">
        <f>SUM(F172,F161,F225,F219)</f>
        <v>756390327.1</v>
      </c>
      <c r="G160" s="88">
        <f>SUM(G172,G161,G225,G219)</f>
        <v>64672005.23</v>
      </c>
      <c r="H160" s="54">
        <f>SUM(F160:G160)</f>
        <v>821062332.33</v>
      </c>
      <c r="I160" s="33"/>
    </row>
    <row r="161" spans="1:9" s="45" customFormat="1" ht="15.75">
      <c r="A161" s="55" t="s">
        <v>239</v>
      </c>
      <c r="B161" s="56" t="s">
        <v>104</v>
      </c>
      <c r="C161" s="57" t="s">
        <v>240</v>
      </c>
      <c r="D161" s="82"/>
      <c r="E161" s="82"/>
      <c r="F161" s="72">
        <f>F162</f>
        <v>50000000</v>
      </c>
      <c r="G161" s="72">
        <f>G162</f>
        <v>30015100</v>
      </c>
      <c r="H161" s="58">
        <f>SUM(F161:G161)</f>
        <v>80015100</v>
      </c>
      <c r="I161" s="33"/>
    </row>
    <row r="162" spans="1:9" s="45" customFormat="1" ht="15.75">
      <c r="A162" s="60" t="s">
        <v>109</v>
      </c>
      <c r="B162" s="61" t="s">
        <v>104</v>
      </c>
      <c r="C162" s="62" t="s">
        <v>240</v>
      </c>
      <c r="D162" s="63" t="s">
        <v>110</v>
      </c>
      <c r="E162" s="57"/>
      <c r="F162" s="64">
        <f>F163</f>
        <v>50000000</v>
      </c>
      <c r="G162" s="64">
        <f>G163</f>
        <v>30015100</v>
      </c>
      <c r="H162" s="64">
        <f>SUM(F162:G162)</f>
        <v>80015100</v>
      </c>
      <c r="I162" s="33"/>
    </row>
    <row r="163" spans="1:9" s="45" customFormat="1" ht="31.5">
      <c r="A163" s="65" t="s">
        <v>142</v>
      </c>
      <c r="B163" s="61" t="s">
        <v>104</v>
      </c>
      <c r="C163" s="62" t="s">
        <v>240</v>
      </c>
      <c r="D163" s="63" t="s">
        <v>143</v>
      </c>
      <c r="E163" s="63"/>
      <c r="F163" s="66">
        <f>F164+F169</f>
        <v>50000000</v>
      </c>
      <c r="G163" s="66">
        <f>G164+G169</f>
        <v>30015100</v>
      </c>
      <c r="H163" s="64">
        <f>SUM(F163:G163)</f>
        <v>80015100</v>
      </c>
      <c r="I163" s="33"/>
    </row>
    <row r="164" spans="1:8" s="33" customFormat="1" ht="15.75">
      <c r="A164" s="65" t="s">
        <v>241</v>
      </c>
      <c r="B164" s="61" t="s">
        <v>104</v>
      </c>
      <c r="C164" s="62" t="s">
        <v>240</v>
      </c>
      <c r="D164" s="63" t="s">
        <v>242</v>
      </c>
      <c r="E164" s="63"/>
      <c r="F164" s="66">
        <f>F167+F165</f>
        <v>50000000</v>
      </c>
      <c r="G164" s="66">
        <f>G167+G165</f>
        <v>24515100</v>
      </c>
      <c r="H164" s="64">
        <f>SUM(F164:G164)</f>
        <v>74515100</v>
      </c>
    </row>
    <row r="165" spans="1:8" s="33" customFormat="1" ht="31.5">
      <c r="A165" s="68" t="s">
        <v>121</v>
      </c>
      <c r="B165" s="61" t="s">
        <v>104</v>
      </c>
      <c r="C165" s="62" t="s">
        <v>240</v>
      </c>
      <c r="D165" s="63" t="s">
        <v>242</v>
      </c>
      <c r="E165" s="63">
        <v>200</v>
      </c>
      <c r="F165" s="66">
        <f>F166</f>
        <v>0</v>
      </c>
      <c r="G165" s="66">
        <f>G166</f>
        <v>15100</v>
      </c>
      <c r="H165" s="64">
        <f>SUM(F165:G165)</f>
        <v>15100</v>
      </c>
    </row>
    <row r="166" spans="1:8" s="33" customFormat="1" ht="31.5">
      <c r="A166" s="68" t="s">
        <v>123</v>
      </c>
      <c r="B166" s="61" t="s">
        <v>104</v>
      </c>
      <c r="C166" s="62" t="s">
        <v>240</v>
      </c>
      <c r="D166" s="63" t="s">
        <v>242</v>
      </c>
      <c r="E166" s="63">
        <v>240</v>
      </c>
      <c r="F166" s="66">
        <v>0</v>
      </c>
      <c r="G166" s="66">
        <v>15100</v>
      </c>
      <c r="H166" s="64">
        <f>SUM(F166:G166)</f>
        <v>15100</v>
      </c>
    </row>
    <row r="167" spans="1:9" s="45" customFormat="1" ht="15.75">
      <c r="A167" s="68" t="s">
        <v>129</v>
      </c>
      <c r="B167" s="61" t="s">
        <v>104</v>
      </c>
      <c r="C167" s="62" t="s">
        <v>240</v>
      </c>
      <c r="D167" s="63" t="s">
        <v>242</v>
      </c>
      <c r="E167" s="63">
        <v>800</v>
      </c>
      <c r="F167" s="66">
        <f>F168</f>
        <v>50000000</v>
      </c>
      <c r="G167" s="66">
        <f>G168</f>
        <v>24500000</v>
      </c>
      <c r="H167" s="64">
        <f>SUM(F167:G167)</f>
        <v>74500000</v>
      </c>
      <c r="I167" s="33"/>
    </row>
    <row r="168" spans="1:9" s="45" customFormat="1" ht="47.25">
      <c r="A168" s="65" t="s">
        <v>243</v>
      </c>
      <c r="B168" s="61" t="s">
        <v>104</v>
      </c>
      <c r="C168" s="62" t="s">
        <v>240</v>
      </c>
      <c r="D168" s="63" t="s">
        <v>242</v>
      </c>
      <c r="E168" s="63">
        <v>810</v>
      </c>
      <c r="F168" s="66">
        <v>50000000</v>
      </c>
      <c r="G168" s="66">
        <f>-5500000+30000000</f>
        <v>24500000</v>
      </c>
      <c r="H168" s="64">
        <f>SUM(F168:G168)</f>
        <v>74500000</v>
      </c>
      <c r="I168" s="33"/>
    </row>
    <row r="169" spans="1:9" s="45" customFormat="1" ht="51.75" customHeight="1">
      <c r="A169" s="65" t="s">
        <v>244</v>
      </c>
      <c r="B169" s="61" t="s">
        <v>104</v>
      </c>
      <c r="C169" s="62" t="s">
        <v>240</v>
      </c>
      <c r="D169" s="63" t="s">
        <v>245</v>
      </c>
      <c r="E169" s="63"/>
      <c r="F169" s="66">
        <f>F170</f>
        <v>0</v>
      </c>
      <c r="G169" s="66">
        <f>G170</f>
        <v>5500000</v>
      </c>
      <c r="H169" s="64">
        <f>SUM(F169:G169)</f>
        <v>5500000</v>
      </c>
      <c r="I169" s="33"/>
    </row>
    <row r="170" spans="1:9" s="45" customFormat="1" ht="15.75">
      <c r="A170" s="68" t="s">
        <v>129</v>
      </c>
      <c r="B170" s="61" t="s">
        <v>104</v>
      </c>
      <c r="C170" s="62" t="s">
        <v>240</v>
      </c>
      <c r="D170" s="63" t="s">
        <v>245</v>
      </c>
      <c r="E170" s="63">
        <v>800</v>
      </c>
      <c r="F170" s="66">
        <f>F171</f>
        <v>0</v>
      </c>
      <c r="G170" s="66">
        <f>G171</f>
        <v>5500000</v>
      </c>
      <c r="H170" s="64">
        <f>SUM(F170:G170)</f>
        <v>5500000</v>
      </c>
      <c r="I170" s="33"/>
    </row>
    <row r="171" spans="1:9" s="45" customFormat="1" ht="47.25">
      <c r="A171" s="65" t="s">
        <v>243</v>
      </c>
      <c r="B171" s="61" t="s">
        <v>104</v>
      </c>
      <c r="C171" s="62" t="s">
        <v>240</v>
      </c>
      <c r="D171" s="63" t="s">
        <v>245</v>
      </c>
      <c r="E171" s="63">
        <v>810</v>
      </c>
      <c r="F171" s="66">
        <v>0</v>
      </c>
      <c r="G171" s="66">
        <v>5500000</v>
      </c>
      <c r="H171" s="64">
        <f>SUM(F171:G171)</f>
        <v>5500000</v>
      </c>
      <c r="I171" s="33"/>
    </row>
    <row r="172" spans="1:9" s="45" customFormat="1" ht="15.75">
      <c r="A172" s="55" t="s">
        <v>246</v>
      </c>
      <c r="B172" s="56" t="s">
        <v>104</v>
      </c>
      <c r="C172" s="56" t="s">
        <v>247</v>
      </c>
      <c r="D172" s="82"/>
      <c r="E172" s="82"/>
      <c r="F172" s="72">
        <f>F178+F173</f>
        <v>681876948.76</v>
      </c>
      <c r="G172" s="72">
        <f>G178+G173</f>
        <v>30056905.229999997</v>
      </c>
      <c r="H172" s="58">
        <f>SUM(F172:G172)</f>
        <v>711933853.99</v>
      </c>
      <c r="I172" s="33"/>
    </row>
    <row r="173" spans="1:9" s="45" customFormat="1" ht="31.5">
      <c r="A173" s="67" t="s">
        <v>248</v>
      </c>
      <c r="B173" s="61" t="s">
        <v>104</v>
      </c>
      <c r="C173" s="61" t="s">
        <v>247</v>
      </c>
      <c r="D173" s="62" t="s">
        <v>249</v>
      </c>
      <c r="E173" s="62"/>
      <c r="F173" s="66">
        <f>F174</f>
        <v>300000</v>
      </c>
      <c r="G173" s="66">
        <f>G174</f>
        <v>0</v>
      </c>
      <c r="H173" s="64">
        <f>SUM(F173:G173)</f>
        <v>300000</v>
      </c>
      <c r="I173" s="33"/>
    </row>
    <row r="174" spans="1:9" s="45" customFormat="1" ht="15.75">
      <c r="A174" s="89" t="s">
        <v>250</v>
      </c>
      <c r="B174" s="61" t="s">
        <v>104</v>
      </c>
      <c r="C174" s="61" t="s">
        <v>247</v>
      </c>
      <c r="D174" s="62" t="s">
        <v>251</v>
      </c>
      <c r="E174" s="62"/>
      <c r="F174" s="66">
        <f>F175</f>
        <v>300000</v>
      </c>
      <c r="G174" s="66">
        <f>G175</f>
        <v>0</v>
      </c>
      <c r="H174" s="64">
        <f>SUM(F174:G174)</f>
        <v>300000</v>
      </c>
      <c r="I174" s="33"/>
    </row>
    <row r="175" spans="1:9" s="45" customFormat="1" ht="31.5">
      <c r="A175" s="67" t="s">
        <v>252</v>
      </c>
      <c r="B175" s="61" t="s">
        <v>104</v>
      </c>
      <c r="C175" s="61" t="s">
        <v>247</v>
      </c>
      <c r="D175" s="63" t="s">
        <v>253</v>
      </c>
      <c r="E175" s="62"/>
      <c r="F175" s="66">
        <f>F176</f>
        <v>300000</v>
      </c>
      <c r="G175" s="66">
        <f>G176</f>
        <v>0</v>
      </c>
      <c r="H175" s="64">
        <f>SUM(F175:G175)</f>
        <v>300000</v>
      </c>
      <c r="I175" s="33"/>
    </row>
    <row r="176" spans="1:9" s="45" customFormat="1" ht="31.5">
      <c r="A176" s="68" t="s">
        <v>121</v>
      </c>
      <c r="B176" s="61" t="s">
        <v>104</v>
      </c>
      <c r="C176" s="61" t="s">
        <v>247</v>
      </c>
      <c r="D176" s="63" t="s">
        <v>253</v>
      </c>
      <c r="E176" s="62" t="s">
        <v>122</v>
      </c>
      <c r="F176" s="66">
        <f>F177</f>
        <v>300000</v>
      </c>
      <c r="G176" s="66">
        <f>G177</f>
        <v>0</v>
      </c>
      <c r="H176" s="64">
        <f>SUM(F176:G176)</f>
        <v>300000</v>
      </c>
      <c r="I176" s="33"/>
    </row>
    <row r="177" spans="1:9" s="45" customFormat="1" ht="31.5">
      <c r="A177" s="68" t="s">
        <v>123</v>
      </c>
      <c r="B177" s="61" t="s">
        <v>104</v>
      </c>
      <c r="C177" s="61" t="s">
        <v>247</v>
      </c>
      <c r="D177" s="63" t="s">
        <v>253</v>
      </c>
      <c r="E177" s="62" t="s">
        <v>124</v>
      </c>
      <c r="F177" s="66">
        <v>300000</v>
      </c>
      <c r="G177" s="66">
        <v>0</v>
      </c>
      <c r="H177" s="64">
        <f>SUM(F177:G177)</f>
        <v>300000</v>
      </c>
      <c r="I177" s="33"/>
    </row>
    <row r="178" spans="1:9" s="45" customFormat="1" ht="31.5">
      <c r="A178" s="65" t="s">
        <v>254</v>
      </c>
      <c r="B178" s="61" t="s">
        <v>104</v>
      </c>
      <c r="C178" s="61" t="s">
        <v>247</v>
      </c>
      <c r="D178" s="63" t="s">
        <v>255</v>
      </c>
      <c r="E178" s="63"/>
      <c r="F178" s="66">
        <f>SUM(F179,F184,F187,F190,F195,F201,F207,F216,F210,F204,F198,F213)</f>
        <v>681576948.76</v>
      </c>
      <c r="G178" s="66">
        <f>SUM(G179,G184,G187,G190,G195,G201,G207,G216,G210,G204,G198,G213)</f>
        <v>30056905.229999997</v>
      </c>
      <c r="H178" s="64">
        <f>SUM(F178:G178)</f>
        <v>711633853.99</v>
      </c>
      <c r="I178" s="33"/>
    </row>
    <row r="179" spans="1:9" s="45" customFormat="1" ht="31.5">
      <c r="A179" s="65" t="s">
        <v>256</v>
      </c>
      <c r="B179" s="61" t="s">
        <v>104</v>
      </c>
      <c r="C179" s="61" t="s">
        <v>247</v>
      </c>
      <c r="D179" s="63" t="s">
        <v>257</v>
      </c>
      <c r="E179" s="63"/>
      <c r="F179" s="66">
        <f>F182+F180</f>
        <v>30455690</v>
      </c>
      <c r="G179" s="66">
        <f>G182+G180</f>
        <v>10695006.95</v>
      </c>
      <c r="H179" s="64">
        <f>SUM(F179:G179)</f>
        <v>41150696.95</v>
      </c>
      <c r="I179" s="33"/>
    </row>
    <row r="180" spans="1:9" s="45" customFormat="1" ht="31.5">
      <c r="A180" s="68" t="s">
        <v>121</v>
      </c>
      <c r="B180" s="61" t="s">
        <v>104</v>
      </c>
      <c r="C180" s="61" t="s">
        <v>247</v>
      </c>
      <c r="D180" s="63" t="s">
        <v>257</v>
      </c>
      <c r="E180" s="63">
        <v>200</v>
      </c>
      <c r="F180" s="66">
        <f>F181</f>
        <v>20455690</v>
      </c>
      <c r="G180" s="66">
        <f>G181</f>
        <v>10695006.95</v>
      </c>
      <c r="H180" s="64">
        <f>SUM(F180:G180)</f>
        <v>31150696.95</v>
      </c>
      <c r="I180" s="33"/>
    </row>
    <row r="181" spans="1:9" s="45" customFormat="1" ht="31.5">
      <c r="A181" s="68" t="s">
        <v>123</v>
      </c>
      <c r="B181" s="61" t="s">
        <v>104</v>
      </c>
      <c r="C181" s="61" t="s">
        <v>247</v>
      </c>
      <c r="D181" s="63" t="s">
        <v>257</v>
      </c>
      <c r="E181" s="63">
        <v>240</v>
      </c>
      <c r="F181" s="66">
        <v>20455690</v>
      </c>
      <c r="G181" s="66">
        <f>144000+9500000+51005.95+1000001</f>
        <v>10695006.95</v>
      </c>
      <c r="H181" s="64">
        <f>SUM(F181:G181)</f>
        <v>31150696.95</v>
      </c>
      <c r="I181" s="33"/>
    </row>
    <row r="182" spans="1:9" s="45" customFormat="1" ht="15.75">
      <c r="A182" s="65" t="s">
        <v>129</v>
      </c>
      <c r="B182" s="61" t="s">
        <v>104</v>
      </c>
      <c r="C182" s="61" t="s">
        <v>247</v>
      </c>
      <c r="D182" s="63" t="s">
        <v>257</v>
      </c>
      <c r="E182" s="63">
        <v>800</v>
      </c>
      <c r="F182" s="66">
        <f>F183</f>
        <v>10000000</v>
      </c>
      <c r="G182" s="66">
        <f>G183</f>
        <v>0</v>
      </c>
      <c r="H182" s="64">
        <f>SUM(F182:G182)</f>
        <v>10000000</v>
      </c>
      <c r="I182" s="33"/>
    </row>
    <row r="183" spans="1:9" s="45" customFormat="1" ht="47.25">
      <c r="A183" s="65" t="s">
        <v>243</v>
      </c>
      <c r="B183" s="61" t="s">
        <v>104</v>
      </c>
      <c r="C183" s="61" t="s">
        <v>247</v>
      </c>
      <c r="D183" s="63" t="s">
        <v>257</v>
      </c>
      <c r="E183" s="63">
        <v>810</v>
      </c>
      <c r="F183" s="66">
        <v>10000000</v>
      </c>
      <c r="G183" s="66">
        <v>0</v>
      </c>
      <c r="H183" s="64">
        <f>SUM(F183:G183)</f>
        <v>10000000</v>
      </c>
      <c r="I183" s="33"/>
    </row>
    <row r="184" spans="1:9" s="45" customFormat="1" ht="31.5">
      <c r="A184" s="65" t="s">
        <v>258</v>
      </c>
      <c r="B184" s="61" t="s">
        <v>104</v>
      </c>
      <c r="C184" s="61" t="s">
        <v>247</v>
      </c>
      <c r="D184" s="63" t="s">
        <v>259</v>
      </c>
      <c r="E184" s="63"/>
      <c r="F184" s="66">
        <f>F185</f>
        <v>10000000</v>
      </c>
      <c r="G184" s="66">
        <f>G185</f>
        <v>0</v>
      </c>
      <c r="H184" s="64">
        <f>SUM(F184:G184)</f>
        <v>10000000</v>
      </c>
      <c r="I184" s="33"/>
    </row>
    <row r="185" spans="1:8" s="33" customFormat="1" ht="15.75">
      <c r="A185" s="68" t="s">
        <v>129</v>
      </c>
      <c r="B185" s="61" t="s">
        <v>104</v>
      </c>
      <c r="C185" s="61" t="s">
        <v>247</v>
      </c>
      <c r="D185" s="63" t="s">
        <v>259</v>
      </c>
      <c r="E185" s="63">
        <v>800</v>
      </c>
      <c r="F185" s="66">
        <f>F186</f>
        <v>10000000</v>
      </c>
      <c r="G185" s="66">
        <f>G186</f>
        <v>0</v>
      </c>
      <c r="H185" s="64">
        <f>SUM(F185:G185)</f>
        <v>10000000</v>
      </c>
    </row>
    <row r="186" spans="1:8" s="33" customFormat="1" ht="47.25">
      <c r="A186" s="65" t="s">
        <v>243</v>
      </c>
      <c r="B186" s="61" t="s">
        <v>104</v>
      </c>
      <c r="C186" s="61" t="s">
        <v>247</v>
      </c>
      <c r="D186" s="63" t="s">
        <v>259</v>
      </c>
      <c r="E186" s="63">
        <v>810</v>
      </c>
      <c r="F186" s="66">
        <v>10000000</v>
      </c>
      <c r="G186" s="66">
        <v>0</v>
      </c>
      <c r="H186" s="64">
        <f>SUM(F186:G186)</f>
        <v>10000000</v>
      </c>
    </row>
    <row r="187" spans="1:8" s="33" customFormat="1" ht="39" customHeight="1">
      <c r="A187" s="65" t="s">
        <v>260</v>
      </c>
      <c r="B187" s="61" t="s">
        <v>104</v>
      </c>
      <c r="C187" s="61" t="s">
        <v>247</v>
      </c>
      <c r="D187" s="63" t="s">
        <v>261</v>
      </c>
      <c r="E187" s="63"/>
      <c r="F187" s="66">
        <f>F188</f>
        <v>26800000</v>
      </c>
      <c r="G187" s="66">
        <f>G188</f>
        <v>0</v>
      </c>
      <c r="H187" s="64">
        <f>SUM(F187:G187)</f>
        <v>26800000</v>
      </c>
    </row>
    <row r="188" spans="1:8" s="33" customFormat="1" ht="15.75">
      <c r="A188" s="68" t="s">
        <v>129</v>
      </c>
      <c r="B188" s="61" t="s">
        <v>104</v>
      </c>
      <c r="C188" s="61" t="s">
        <v>247</v>
      </c>
      <c r="D188" s="63" t="s">
        <v>261</v>
      </c>
      <c r="E188" s="63">
        <v>800</v>
      </c>
      <c r="F188" s="66">
        <f>F189</f>
        <v>26800000</v>
      </c>
      <c r="G188" s="66">
        <f>G189</f>
        <v>0</v>
      </c>
      <c r="H188" s="64">
        <f>SUM(F188:G188)</f>
        <v>26800000</v>
      </c>
    </row>
    <row r="189" spans="1:8" s="33" customFormat="1" ht="47.25">
      <c r="A189" s="65" t="s">
        <v>243</v>
      </c>
      <c r="B189" s="61" t="s">
        <v>104</v>
      </c>
      <c r="C189" s="61" t="s">
        <v>247</v>
      </c>
      <c r="D189" s="63" t="s">
        <v>261</v>
      </c>
      <c r="E189" s="63">
        <v>810</v>
      </c>
      <c r="F189" s="66">
        <v>26800000</v>
      </c>
      <c r="G189" s="66">
        <v>0</v>
      </c>
      <c r="H189" s="64">
        <f>SUM(F189:G189)</f>
        <v>26800000</v>
      </c>
    </row>
    <row r="190" spans="1:8" ht="31.5">
      <c r="A190" s="65" t="s">
        <v>262</v>
      </c>
      <c r="B190" s="61" t="s">
        <v>104</v>
      </c>
      <c r="C190" s="61" t="s">
        <v>247</v>
      </c>
      <c r="D190" s="63" t="s">
        <v>263</v>
      </c>
      <c r="E190" s="63"/>
      <c r="F190" s="66">
        <f>SUM(F191,F193)</f>
        <v>240756970</v>
      </c>
      <c r="G190" s="66">
        <f>SUM(G191,G193)</f>
        <v>0</v>
      </c>
      <c r="H190" s="64">
        <f>SUM(F190:G190)</f>
        <v>240756970</v>
      </c>
    </row>
    <row r="191" spans="1:8" ht="31.5">
      <c r="A191" s="68" t="s">
        <v>121</v>
      </c>
      <c r="B191" s="61" t="s">
        <v>104</v>
      </c>
      <c r="C191" s="61" t="s">
        <v>247</v>
      </c>
      <c r="D191" s="63" t="s">
        <v>263</v>
      </c>
      <c r="E191" s="63">
        <v>200</v>
      </c>
      <c r="F191" s="66">
        <f>F192</f>
        <v>1256970</v>
      </c>
      <c r="G191" s="66">
        <f>G192</f>
        <v>0</v>
      </c>
      <c r="H191" s="64">
        <f>SUM(F191:G191)</f>
        <v>1256970</v>
      </c>
    </row>
    <row r="192" spans="1:8" ht="31.5">
      <c r="A192" s="68" t="s">
        <v>123</v>
      </c>
      <c r="B192" s="61" t="s">
        <v>104</v>
      </c>
      <c r="C192" s="61" t="s">
        <v>247</v>
      </c>
      <c r="D192" s="63" t="s">
        <v>263</v>
      </c>
      <c r="E192" s="63">
        <v>240</v>
      </c>
      <c r="F192" s="66">
        <v>1256970</v>
      </c>
      <c r="G192" s="66">
        <v>0</v>
      </c>
      <c r="H192" s="64">
        <f>SUM(F192:G192)</f>
        <v>1256970</v>
      </c>
    </row>
    <row r="193" spans="1:8" ht="15.75">
      <c r="A193" s="65" t="s">
        <v>129</v>
      </c>
      <c r="B193" s="61" t="s">
        <v>104</v>
      </c>
      <c r="C193" s="61" t="s">
        <v>247</v>
      </c>
      <c r="D193" s="63" t="s">
        <v>263</v>
      </c>
      <c r="E193" s="63">
        <v>800</v>
      </c>
      <c r="F193" s="66">
        <f>F194</f>
        <v>239500000</v>
      </c>
      <c r="G193" s="66">
        <f>G194</f>
        <v>0</v>
      </c>
      <c r="H193" s="64">
        <f>SUM(F193:G193)</f>
        <v>239500000</v>
      </c>
    </row>
    <row r="194" spans="1:8" ht="47.25">
      <c r="A194" s="65" t="s">
        <v>243</v>
      </c>
      <c r="B194" s="61" t="s">
        <v>104</v>
      </c>
      <c r="C194" s="61" t="s">
        <v>247</v>
      </c>
      <c r="D194" s="63" t="s">
        <v>263</v>
      </c>
      <c r="E194" s="63">
        <v>810</v>
      </c>
      <c r="F194" s="66">
        <v>239500000</v>
      </c>
      <c r="G194" s="66"/>
      <c r="H194" s="64">
        <f>SUM(F194:G194)</f>
        <v>239500000</v>
      </c>
    </row>
    <row r="195" spans="1:8" ht="31.5">
      <c r="A195" s="60" t="s">
        <v>264</v>
      </c>
      <c r="B195" s="61" t="s">
        <v>104</v>
      </c>
      <c r="C195" s="61" t="s">
        <v>247</v>
      </c>
      <c r="D195" s="63" t="s">
        <v>265</v>
      </c>
      <c r="E195" s="63"/>
      <c r="F195" s="66">
        <f>SUM(F196)</f>
        <v>20000000</v>
      </c>
      <c r="G195" s="66">
        <f>SUM(G196)</f>
        <v>0</v>
      </c>
      <c r="H195" s="64">
        <f>SUM(F195:G195)</f>
        <v>20000000</v>
      </c>
    </row>
    <row r="196" spans="1:8" ht="15.75">
      <c r="A196" s="65" t="s">
        <v>129</v>
      </c>
      <c r="B196" s="61" t="s">
        <v>104</v>
      </c>
      <c r="C196" s="61" t="s">
        <v>247</v>
      </c>
      <c r="D196" s="63" t="s">
        <v>265</v>
      </c>
      <c r="E196" s="63">
        <v>800</v>
      </c>
      <c r="F196" s="66">
        <f>F197</f>
        <v>20000000</v>
      </c>
      <c r="G196" s="66">
        <f>G197</f>
        <v>0</v>
      </c>
      <c r="H196" s="64">
        <f>SUM(F196:G196)</f>
        <v>20000000</v>
      </c>
    </row>
    <row r="197" spans="1:8" ht="47.25">
      <c r="A197" s="65" t="s">
        <v>243</v>
      </c>
      <c r="B197" s="61" t="s">
        <v>104</v>
      </c>
      <c r="C197" s="61" t="s">
        <v>247</v>
      </c>
      <c r="D197" s="63" t="s">
        <v>265</v>
      </c>
      <c r="E197" s="63">
        <v>810</v>
      </c>
      <c r="F197" s="66">
        <v>20000000</v>
      </c>
      <c r="G197" s="66">
        <v>0</v>
      </c>
      <c r="H197" s="64">
        <f>SUM(F197:G197)</f>
        <v>20000000</v>
      </c>
    </row>
    <row r="198" spans="1:8" ht="49.5" customHeight="1">
      <c r="A198" s="65" t="s">
        <v>266</v>
      </c>
      <c r="B198" s="61" t="s">
        <v>104</v>
      </c>
      <c r="C198" s="61" t="s">
        <v>247</v>
      </c>
      <c r="D198" s="63" t="s">
        <v>267</v>
      </c>
      <c r="E198" s="63"/>
      <c r="F198" s="66">
        <f>F199</f>
        <v>0</v>
      </c>
      <c r="G198" s="66">
        <f>G199</f>
        <v>9485505</v>
      </c>
      <c r="H198" s="64">
        <f>SUM(F198:G198)</f>
        <v>9485505</v>
      </c>
    </row>
    <row r="199" spans="1:8" ht="31.5">
      <c r="A199" s="68" t="s">
        <v>121</v>
      </c>
      <c r="B199" s="61" t="s">
        <v>104</v>
      </c>
      <c r="C199" s="61" t="s">
        <v>247</v>
      </c>
      <c r="D199" s="63" t="s">
        <v>267</v>
      </c>
      <c r="E199" s="63">
        <v>200</v>
      </c>
      <c r="F199" s="66">
        <f>F200</f>
        <v>0</v>
      </c>
      <c r="G199" s="66">
        <f>G200</f>
        <v>9485505</v>
      </c>
      <c r="H199" s="64">
        <f>SUM(F199:G199)</f>
        <v>9485505</v>
      </c>
    </row>
    <row r="200" spans="1:8" ht="31.5">
      <c r="A200" s="68" t="s">
        <v>123</v>
      </c>
      <c r="B200" s="61" t="s">
        <v>104</v>
      </c>
      <c r="C200" s="61" t="s">
        <v>247</v>
      </c>
      <c r="D200" s="63" t="s">
        <v>267</v>
      </c>
      <c r="E200" s="63">
        <v>240</v>
      </c>
      <c r="F200" s="66">
        <v>0</v>
      </c>
      <c r="G200" s="66">
        <v>9485505</v>
      </c>
      <c r="H200" s="64">
        <f>SUM(F200:G200)</f>
        <v>9485505</v>
      </c>
    </row>
    <row r="201" spans="1:8" ht="31.5">
      <c r="A201" s="65" t="s">
        <v>268</v>
      </c>
      <c r="B201" s="61" t="s">
        <v>104</v>
      </c>
      <c r="C201" s="61" t="s">
        <v>247</v>
      </c>
      <c r="D201" s="62" t="s">
        <v>269</v>
      </c>
      <c r="E201" s="63"/>
      <c r="F201" s="66">
        <f>F202</f>
        <v>52535586.96999999</v>
      </c>
      <c r="G201" s="66">
        <f>G202</f>
        <v>-9673914.29</v>
      </c>
      <c r="H201" s="64">
        <f>SUM(F201:G201)</f>
        <v>42861672.67999999</v>
      </c>
    </row>
    <row r="202" spans="1:8" ht="31.5">
      <c r="A202" s="65" t="s">
        <v>270</v>
      </c>
      <c r="B202" s="61" t="s">
        <v>104</v>
      </c>
      <c r="C202" s="61" t="s">
        <v>247</v>
      </c>
      <c r="D202" s="62" t="s">
        <v>269</v>
      </c>
      <c r="E202" s="63">
        <v>400</v>
      </c>
      <c r="F202" s="66">
        <f>F203</f>
        <v>52535586.96999999</v>
      </c>
      <c r="G202" s="66">
        <f>G203</f>
        <v>-9673914.29</v>
      </c>
      <c r="H202" s="64">
        <f>SUM(F202:G202)</f>
        <v>42861672.67999999</v>
      </c>
    </row>
    <row r="203" spans="1:8" ht="15.75">
      <c r="A203" s="90" t="s">
        <v>271</v>
      </c>
      <c r="B203" s="91" t="s">
        <v>104</v>
      </c>
      <c r="C203" s="91" t="s">
        <v>247</v>
      </c>
      <c r="D203" s="92" t="s">
        <v>269</v>
      </c>
      <c r="E203" s="93">
        <v>410</v>
      </c>
      <c r="F203" s="94">
        <f>64104241.08-13164230.73+1595576.62</f>
        <v>52535586.96999999</v>
      </c>
      <c r="G203" s="94">
        <f>-29914.28-0.01-144000-9500000</f>
        <v>-9673914.29</v>
      </c>
      <c r="H203" s="64">
        <f>SUM(F203:G203)</f>
        <v>42861672.67999999</v>
      </c>
    </row>
    <row r="204" spans="1:8" ht="31.5">
      <c r="A204" s="90" t="s">
        <v>272</v>
      </c>
      <c r="B204" s="91" t="s">
        <v>104</v>
      </c>
      <c r="C204" s="91" t="s">
        <v>247</v>
      </c>
      <c r="D204" s="92" t="s">
        <v>273</v>
      </c>
      <c r="E204" s="93"/>
      <c r="F204" s="94">
        <f>F205</f>
        <v>68649885.72</v>
      </c>
      <c r="G204" s="94">
        <f>G205</f>
        <v>0</v>
      </c>
      <c r="H204" s="64">
        <f>SUM(F204:G204)</f>
        <v>68649885.72</v>
      </c>
    </row>
    <row r="205" spans="1:8" ht="31.5">
      <c r="A205" s="65" t="s">
        <v>270</v>
      </c>
      <c r="B205" s="91" t="s">
        <v>104</v>
      </c>
      <c r="C205" s="91" t="s">
        <v>247</v>
      </c>
      <c r="D205" s="92" t="s">
        <v>273</v>
      </c>
      <c r="E205" s="93">
        <v>400</v>
      </c>
      <c r="F205" s="94">
        <f>F206</f>
        <v>68649885.72</v>
      </c>
      <c r="G205" s="94">
        <f>G206</f>
        <v>0</v>
      </c>
      <c r="H205" s="64">
        <f>SUM(F205:G205)</f>
        <v>68649885.72</v>
      </c>
    </row>
    <row r="206" spans="1:8" ht="15.75">
      <c r="A206" s="90" t="s">
        <v>271</v>
      </c>
      <c r="B206" s="91" t="s">
        <v>104</v>
      </c>
      <c r="C206" s="91" t="s">
        <v>247</v>
      </c>
      <c r="D206" s="92" t="s">
        <v>273</v>
      </c>
      <c r="E206" s="93">
        <v>410</v>
      </c>
      <c r="F206" s="94">
        <f>65217391.43+3432494.29</f>
        <v>68649885.72</v>
      </c>
      <c r="G206" s="94">
        <v>0</v>
      </c>
      <c r="H206" s="64">
        <f>SUM(F206:G206)</f>
        <v>68649885.72</v>
      </c>
    </row>
    <row r="207" spans="1:8" ht="63">
      <c r="A207" s="65" t="s">
        <v>274</v>
      </c>
      <c r="B207" s="61" t="s">
        <v>104</v>
      </c>
      <c r="C207" s="61" t="s">
        <v>247</v>
      </c>
      <c r="D207" s="62" t="s">
        <v>275</v>
      </c>
      <c r="E207" s="63"/>
      <c r="F207" s="66">
        <f>F208</f>
        <v>21786738.47</v>
      </c>
      <c r="G207" s="66">
        <f>G208</f>
        <v>2525331.53</v>
      </c>
      <c r="H207" s="64">
        <f>SUM(F207:G207)</f>
        <v>24312070</v>
      </c>
    </row>
    <row r="208" spans="1:8" ht="31.5">
      <c r="A208" s="65" t="s">
        <v>270</v>
      </c>
      <c r="B208" s="61" t="s">
        <v>104</v>
      </c>
      <c r="C208" s="61" t="s">
        <v>247</v>
      </c>
      <c r="D208" s="62" t="s">
        <v>275</v>
      </c>
      <c r="E208" s="63">
        <v>400</v>
      </c>
      <c r="F208" s="66">
        <f>F209</f>
        <v>21786738.47</v>
      </c>
      <c r="G208" s="66">
        <f>G209</f>
        <v>2525331.53</v>
      </c>
      <c r="H208" s="64">
        <f>SUM(F208:G208)</f>
        <v>24312070</v>
      </c>
    </row>
    <row r="209" spans="1:8" ht="15.75">
      <c r="A209" s="65" t="s">
        <v>271</v>
      </c>
      <c r="B209" s="61" t="s">
        <v>104</v>
      </c>
      <c r="C209" s="61" t="s">
        <v>247</v>
      </c>
      <c r="D209" s="62" t="s">
        <v>275</v>
      </c>
      <c r="E209" s="63">
        <v>410</v>
      </c>
      <c r="F209" s="66">
        <v>21786738.47</v>
      </c>
      <c r="G209" s="66">
        <f>2500078.21+25253.32</f>
        <v>2525331.53</v>
      </c>
      <c r="H209" s="64">
        <f>SUM(F209:G209)</f>
        <v>24312070</v>
      </c>
    </row>
    <row r="210" spans="1:8" ht="110.25">
      <c r="A210" s="95" t="s">
        <v>276</v>
      </c>
      <c r="B210" s="61" t="s">
        <v>104</v>
      </c>
      <c r="C210" s="61" t="s">
        <v>247</v>
      </c>
      <c r="D210" s="62" t="s">
        <v>277</v>
      </c>
      <c r="E210" s="63"/>
      <c r="F210" s="66">
        <f>F211</f>
        <v>120308377.6</v>
      </c>
      <c r="G210" s="66">
        <f>G211</f>
        <v>0</v>
      </c>
      <c r="H210" s="64">
        <f>SUM(F210:G210)</f>
        <v>120308377.6</v>
      </c>
    </row>
    <row r="211" spans="1:8" ht="31.5">
      <c r="A211" s="65" t="s">
        <v>270</v>
      </c>
      <c r="B211" s="61" t="s">
        <v>104</v>
      </c>
      <c r="C211" s="61" t="s">
        <v>247</v>
      </c>
      <c r="D211" s="62" t="s">
        <v>277</v>
      </c>
      <c r="E211" s="63">
        <v>400</v>
      </c>
      <c r="F211" s="66">
        <f>F212</f>
        <v>120308377.6</v>
      </c>
      <c r="G211" s="66">
        <f>G212</f>
        <v>0</v>
      </c>
      <c r="H211" s="64">
        <f>SUM(F211:G211)</f>
        <v>120308377.6</v>
      </c>
    </row>
    <row r="212" spans="1:8" ht="15.75">
      <c r="A212" s="65" t="s">
        <v>271</v>
      </c>
      <c r="B212" s="61" t="s">
        <v>104</v>
      </c>
      <c r="C212" s="61" t="s">
        <v>247</v>
      </c>
      <c r="D212" s="62" t="s">
        <v>277</v>
      </c>
      <c r="E212" s="63">
        <v>410</v>
      </c>
      <c r="F212" s="66">
        <v>120308377.6</v>
      </c>
      <c r="G212" s="66">
        <v>0</v>
      </c>
      <c r="H212" s="64">
        <f>SUM(F212:G212)</f>
        <v>120308377.6</v>
      </c>
    </row>
    <row r="213" spans="1:8" ht="65.25" customHeight="1">
      <c r="A213" s="65" t="s">
        <v>278</v>
      </c>
      <c r="B213" s="61" t="s">
        <v>104</v>
      </c>
      <c r="C213" s="61" t="s">
        <v>247</v>
      </c>
      <c r="D213" s="62" t="s">
        <v>279</v>
      </c>
      <c r="E213" s="63"/>
      <c r="F213" s="66">
        <f>F214</f>
        <v>0</v>
      </c>
      <c r="G213" s="66">
        <f>G214</f>
        <v>60000000</v>
      </c>
      <c r="H213" s="64">
        <f>SUM(F213:G213)</f>
        <v>60000000</v>
      </c>
    </row>
    <row r="214" spans="1:8" ht="31.5">
      <c r="A214" s="68" t="s">
        <v>121</v>
      </c>
      <c r="B214" s="61" t="s">
        <v>104</v>
      </c>
      <c r="C214" s="61" t="s">
        <v>247</v>
      </c>
      <c r="D214" s="62" t="s">
        <v>279</v>
      </c>
      <c r="E214" s="63">
        <v>200</v>
      </c>
      <c r="F214" s="66">
        <f>F215</f>
        <v>0</v>
      </c>
      <c r="G214" s="66">
        <f>G215</f>
        <v>60000000</v>
      </c>
      <c r="H214" s="64">
        <f>SUM(F214:G214)</f>
        <v>60000000</v>
      </c>
    </row>
    <row r="215" spans="1:8" s="33" customFormat="1" ht="31.5">
      <c r="A215" s="68" t="s">
        <v>123</v>
      </c>
      <c r="B215" s="61" t="s">
        <v>104</v>
      </c>
      <c r="C215" s="61" t="s">
        <v>247</v>
      </c>
      <c r="D215" s="62" t="s">
        <v>279</v>
      </c>
      <c r="E215" s="63">
        <v>240</v>
      </c>
      <c r="F215" s="66">
        <v>0</v>
      </c>
      <c r="G215" s="66">
        <v>60000000</v>
      </c>
      <c r="H215" s="64">
        <f>SUM(F215:G215)</f>
        <v>60000000</v>
      </c>
    </row>
    <row r="216" spans="1:8" s="33" customFormat="1" ht="66.75" customHeight="1">
      <c r="A216" s="68" t="s">
        <v>280</v>
      </c>
      <c r="B216" s="61" t="s">
        <v>104</v>
      </c>
      <c r="C216" s="61" t="s">
        <v>247</v>
      </c>
      <c r="D216" s="62" t="s">
        <v>281</v>
      </c>
      <c r="E216" s="63"/>
      <c r="F216" s="66">
        <f>F217</f>
        <v>90283700</v>
      </c>
      <c r="G216" s="66">
        <f>G217</f>
        <v>-42975023.96</v>
      </c>
      <c r="H216" s="64">
        <f>SUM(F216:G216)</f>
        <v>47308676.04</v>
      </c>
    </row>
    <row r="217" spans="1:8" s="33" customFormat="1" ht="31.5">
      <c r="A217" s="68" t="s">
        <v>121</v>
      </c>
      <c r="B217" s="61" t="s">
        <v>104</v>
      </c>
      <c r="C217" s="61" t="s">
        <v>247</v>
      </c>
      <c r="D217" s="62" t="s">
        <v>281</v>
      </c>
      <c r="E217" s="63">
        <v>200</v>
      </c>
      <c r="F217" s="66">
        <f>F218</f>
        <v>90283700</v>
      </c>
      <c r="G217" s="66">
        <f>G218</f>
        <v>-42975023.96</v>
      </c>
      <c r="H217" s="64">
        <f>SUM(F217:G217)</f>
        <v>47308676.04</v>
      </c>
    </row>
    <row r="218" spans="1:8" s="33" customFormat="1" ht="31.5">
      <c r="A218" s="68" t="s">
        <v>123</v>
      </c>
      <c r="B218" s="61" t="s">
        <v>104</v>
      </c>
      <c r="C218" s="61" t="s">
        <v>247</v>
      </c>
      <c r="D218" s="62" t="s">
        <v>281</v>
      </c>
      <c r="E218" s="63">
        <v>240</v>
      </c>
      <c r="F218" s="66">
        <f>85769515+4514185</f>
        <v>90283700</v>
      </c>
      <c r="G218" s="66">
        <f>-60000000+17024976.04</f>
        <v>-42975023.96</v>
      </c>
      <c r="H218" s="64">
        <f>SUM(F218:G218)</f>
        <v>47308676.04</v>
      </c>
    </row>
    <row r="219" spans="1:9" s="45" customFormat="1" ht="15.75">
      <c r="A219" s="55" t="s">
        <v>282</v>
      </c>
      <c r="B219" s="56" t="s">
        <v>104</v>
      </c>
      <c r="C219" s="57" t="s">
        <v>283</v>
      </c>
      <c r="D219" s="71"/>
      <c r="E219" s="71"/>
      <c r="F219" s="72">
        <f>F220</f>
        <v>3333333.33</v>
      </c>
      <c r="G219" s="72">
        <f>G220</f>
        <v>0</v>
      </c>
      <c r="H219" s="58">
        <f>SUM(F219:G219)</f>
        <v>3333333.33</v>
      </c>
      <c r="I219" s="33"/>
    </row>
    <row r="220" spans="1:9" s="45" customFormat="1" ht="15.75">
      <c r="A220" s="60" t="s">
        <v>109</v>
      </c>
      <c r="B220" s="61" t="s">
        <v>104</v>
      </c>
      <c r="C220" s="62" t="s">
        <v>283</v>
      </c>
      <c r="D220" s="63" t="s">
        <v>110</v>
      </c>
      <c r="E220" s="57"/>
      <c r="F220" s="66">
        <f>F221</f>
        <v>3333333.33</v>
      </c>
      <c r="G220" s="66">
        <f>G221</f>
        <v>0</v>
      </c>
      <c r="H220" s="64">
        <f>SUM(F220:G220)</f>
        <v>3333333.33</v>
      </c>
      <c r="I220" s="33"/>
    </row>
    <row r="221" spans="1:9" s="45" customFormat="1" ht="47.25">
      <c r="A221" s="65" t="s">
        <v>135</v>
      </c>
      <c r="B221" s="61" t="s">
        <v>104</v>
      </c>
      <c r="C221" s="62" t="s">
        <v>283</v>
      </c>
      <c r="D221" s="63" t="s">
        <v>136</v>
      </c>
      <c r="E221" s="63"/>
      <c r="F221" s="66">
        <f>F222</f>
        <v>3333333.33</v>
      </c>
      <c r="G221" s="66">
        <f>G222</f>
        <v>0</v>
      </c>
      <c r="H221" s="64">
        <f>SUM(F221:G221)</f>
        <v>3333333.33</v>
      </c>
      <c r="I221" s="33"/>
    </row>
    <row r="222" spans="1:9" s="45" customFormat="1" ht="36" customHeight="1">
      <c r="A222" s="68" t="s">
        <v>284</v>
      </c>
      <c r="B222" s="61" t="s">
        <v>104</v>
      </c>
      <c r="C222" s="62" t="s">
        <v>283</v>
      </c>
      <c r="D222" s="63" t="s">
        <v>285</v>
      </c>
      <c r="E222" s="63"/>
      <c r="F222" s="69">
        <f>F223</f>
        <v>3333333.33</v>
      </c>
      <c r="G222" s="69">
        <f>G223</f>
        <v>0</v>
      </c>
      <c r="H222" s="64">
        <f>SUM(F222:G222)</f>
        <v>3333333.33</v>
      </c>
      <c r="I222" s="33"/>
    </row>
    <row r="223" spans="1:9" s="45" customFormat="1" ht="31.5">
      <c r="A223" s="68" t="s">
        <v>121</v>
      </c>
      <c r="B223" s="61" t="s">
        <v>104</v>
      </c>
      <c r="C223" s="62" t="s">
        <v>283</v>
      </c>
      <c r="D223" s="63" t="s">
        <v>285</v>
      </c>
      <c r="E223" s="63">
        <v>200</v>
      </c>
      <c r="F223" s="69">
        <f>F224</f>
        <v>3333333.33</v>
      </c>
      <c r="G223" s="69">
        <f>G224</f>
        <v>0</v>
      </c>
      <c r="H223" s="64">
        <f>SUM(F223:G223)</f>
        <v>3333333.33</v>
      </c>
      <c r="I223" s="33"/>
    </row>
    <row r="224" spans="1:9" s="45" customFormat="1" ht="31.5">
      <c r="A224" s="68" t="s">
        <v>123</v>
      </c>
      <c r="B224" s="61" t="s">
        <v>104</v>
      </c>
      <c r="C224" s="62" t="s">
        <v>283</v>
      </c>
      <c r="D224" s="63" t="s">
        <v>285</v>
      </c>
      <c r="E224" s="63">
        <v>240</v>
      </c>
      <c r="F224" s="69">
        <f>3000000+333333.33</f>
        <v>3333333.33</v>
      </c>
      <c r="G224" s="69">
        <v>0</v>
      </c>
      <c r="H224" s="64">
        <f>SUM(F224:G224)</f>
        <v>3333333.33</v>
      </c>
      <c r="I224" s="33"/>
    </row>
    <row r="225" spans="1:8" s="33" customFormat="1" ht="15.75">
      <c r="A225" s="55" t="s">
        <v>286</v>
      </c>
      <c r="B225" s="71">
        <v>440</v>
      </c>
      <c r="C225" s="57" t="s">
        <v>287</v>
      </c>
      <c r="D225" s="82"/>
      <c r="E225" s="82"/>
      <c r="F225" s="72">
        <f>SUM(F250,F226,F264)</f>
        <v>21180045.009999998</v>
      </c>
      <c r="G225" s="72">
        <f>SUM(G250,G226,G264)</f>
        <v>4600000</v>
      </c>
      <c r="H225" s="58">
        <f>SUM(F225:G225)</f>
        <v>25780045.009999998</v>
      </c>
    </row>
    <row r="226" spans="1:8" s="33" customFormat="1" ht="47.25">
      <c r="A226" s="65" t="s">
        <v>288</v>
      </c>
      <c r="B226" s="63">
        <v>440</v>
      </c>
      <c r="C226" s="62" t="s">
        <v>287</v>
      </c>
      <c r="D226" s="63" t="s">
        <v>289</v>
      </c>
      <c r="E226" s="63"/>
      <c r="F226" s="66">
        <f>SUM(F227,F240)</f>
        <v>17223722.34</v>
      </c>
      <c r="G226" s="66">
        <f>SUM(G227,G240)</f>
        <v>4600000</v>
      </c>
      <c r="H226" s="64">
        <f>SUM(F226:G226)</f>
        <v>21823722.34</v>
      </c>
    </row>
    <row r="227" spans="1:8" s="33" customFormat="1" ht="31.5">
      <c r="A227" s="65" t="s">
        <v>290</v>
      </c>
      <c r="B227" s="63">
        <v>440</v>
      </c>
      <c r="C227" s="62" t="s">
        <v>287</v>
      </c>
      <c r="D227" s="63" t="s">
        <v>291</v>
      </c>
      <c r="E227" s="63"/>
      <c r="F227" s="66">
        <f>SUM(F228,F231,F234,F237)</f>
        <v>2723722.34</v>
      </c>
      <c r="G227" s="66">
        <f>SUM(G228,G231,G234,G237)</f>
        <v>0</v>
      </c>
      <c r="H227" s="64">
        <f>SUM(F227:G227)</f>
        <v>2723722.34</v>
      </c>
    </row>
    <row r="228" spans="1:8" s="33" customFormat="1" ht="68.25" customHeight="1">
      <c r="A228" s="65" t="s">
        <v>292</v>
      </c>
      <c r="B228" s="63">
        <v>440</v>
      </c>
      <c r="C228" s="62" t="s">
        <v>287</v>
      </c>
      <c r="D228" s="63" t="s">
        <v>293</v>
      </c>
      <c r="E228" s="63"/>
      <c r="F228" s="66">
        <f>F229</f>
        <v>100000</v>
      </c>
      <c r="G228" s="66">
        <f>G229</f>
        <v>0</v>
      </c>
      <c r="H228" s="64">
        <f>SUM(F228:G228)</f>
        <v>100000</v>
      </c>
    </row>
    <row r="229" spans="1:8" s="33" customFormat="1" ht="15.75">
      <c r="A229" s="65" t="s">
        <v>129</v>
      </c>
      <c r="B229" s="63">
        <v>440</v>
      </c>
      <c r="C229" s="62" t="s">
        <v>287</v>
      </c>
      <c r="D229" s="63" t="s">
        <v>293</v>
      </c>
      <c r="E229" s="63">
        <v>800</v>
      </c>
      <c r="F229" s="66">
        <f>F230</f>
        <v>100000</v>
      </c>
      <c r="G229" s="66">
        <f>G230</f>
        <v>0</v>
      </c>
      <c r="H229" s="64">
        <f>SUM(F229:G229)</f>
        <v>100000</v>
      </c>
    </row>
    <row r="230" spans="1:8" s="33" customFormat="1" ht="47.25">
      <c r="A230" s="65" t="s">
        <v>243</v>
      </c>
      <c r="B230" s="63">
        <v>440</v>
      </c>
      <c r="C230" s="62" t="s">
        <v>287</v>
      </c>
      <c r="D230" s="63" t="s">
        <v>293</v>
      </c>
      <c r="E230" s="63">
        <v>810</v>
      </c>
      <c r="F230" s="66">
        <v>100000</v>
      </c>
      <c r="G230" s="66">
        <v>0</v>
      </c>
      <c r="H230" s="64">
        <f>SUM(F230:G230)</f>
        <v>100000</v>
      </c>
    </row>
    <row r="231" spans="1:8" s="33" customFormat="1" ht="31.5">
      <c r="A231" s="65" t="s">
        <v>294</v>
      </c>
      <c r="B231" s="63">
        <v>440</v>
      </c>
      <c r="C231" s="62" t="s">
        <v>287</v>
      </c>
      <c r="D231" s="63" t="s">
        <v>295</v>
      </c>
      <c r="E231" s="63"/>
      <c r="F231" s="66">
        <f>F232</f>
        <v>1300000</v>
      </c>
      <c r="G231" s="66">
        <f>G232</f>
        <v>0</v>
      </c>
      <c r="H231" s="64">
        <f>SUM(F231:G231)</f>
        <v>1300000</v>
      </c>
    </row>
    <row r="232" spans="1:8" s="33" customFormat="1" ht="15.75">
      <c r="A232" s="65" t="s">
        <v>129</v>
      </c>
      <c r="B232" s="63">
        <v>440</v>
      </c>
      <c r="C232" s="62" t="s">
        <v>287</v>
      </c>
      <c r="D232" s="63" t="s">
        <v>295</v>
      </c>
      <c r="E232" s="63">
        <v>800</v>
      </c>
      <c r="F232" s="66">
        <f>F233</f>
        <v>1300000</v>
      </c>
      <c r="G232" s="66">
        <f>G233</f>
        <v>0</v>
      </c>
      <c r="H232" s="64">
        <f>SUM(F232:G232)</f>
        <v>1300000</v>
      </c>
    </row>
    <row r="233" spans="1:8" s="33" customFormat="1" ht="47.25">
      <c r="A233" s="65" t="s">
        <v>243</v>
      </c>
      <c r="B233" s="63">
        <v>440</v>
      </c>
      <c r="C233" s="62" t="s">
        <v>287</v>
      </c>
      <c r="D233" s="63" t="s">
        <v>295</v>
      </c>
      <c r="E233" s="63">
        <v>810</v>
      </c>
      <c r="F233" s="66">
        <f>500000+800000</f>
        <v>1300000</v>
      </c>
      <c r="G233" s="66">
        <v>0</v>
      </c>
      <c r="H233" s="64">
        <f>SUM(F233:G233)</f>
        <v>1300000</v>
      </c>
    </row>
    <row r="234" spans="1:8" s="33" customFormat="1" ht="63">
      <c r="A234" s="65" t="s">
        <v>296</v>
      </c>
      <c r="B234" s="63">
        <v>440</v>
      </c>
      <c r="C234" s="62" t="s">
        <v>287</v>
      </c>
      <c r="D234" s="63" t="s">
        <v>297</v>
      </c>
      <c r="E234" s="63"/>
      <c r="F234" s="66">
        <f>F235</f>
        <v>1223722.3399999999</v>
      </c>
      <c r="G234" s="66">
        <f>G235</f>
        <v>0</v>
      </c>
      <c r="H234" s="64">
        <f>SUM(F234:G234)</f>
        <v>1223722.3399999999</v>
      </c>
    </row>
    <row r="235" spans="1:8" s="33" customFormat="1" ht="15.75">
      <c r="A235" s="65" t="s">
        <v>129</v>
      </c>
      <c r="B235" s="63">
        <v>440</v>
      </c>
      <c r="C235" s="62" t="s">
        <v>287</v>
      </c>
      <c r="D235" s="63" t="s">
        <v>297</v>
      </c>
      <c r="E235" s="63">
        <v>800</v>
      </c>
      <c r="F235" s="66">
        <f>F236</f>
        <v>1223722.3399999999</v>
      </c>
      <c r="G235" s="66">
        <f>G236</f>
        <v>0</v>
      </c>
      <c r="H235" s="64">
        <f>SUM(F235:G235)</f>
        <v>1223722.3399999999</v>
      </c>
    </row>
    <row r="236" spans="1:8" s="33" customFormat="1" ht="47.25">
      <c r="A236" s="65" t="s">
        <v>243</v>
      </c>
      <c r="B236" s="63">
        <v>440</v>
      </c>
      <c r="C236" s="62" t="s">
        <v>287</v>
      </c>
      <c r="D236" s="63" t="s">
        <v>297</v>
      </c>
      <c r="E236" s="63">
        <v>810</v>
      </c>
      <c r="F236" s="66">
        <f>623722.34+600000</f>
        <v>1223722.3399999999</v>
      </c>
      <c r="G236" s="66">
        <v>0</v>
      </c>
      <c r="H236" s="64">
        <f>SUM(F236:G236)</f>
        <v>1223722.3399999999</v>
      </c>
    </row>
    <row r="237" spans="1:9" s="45" customFormat="1" ht="47.25">
      <c r="A237" s="65" t="s">
        <v>298</v>
      </c>
      <c r="B237" s="63">
        <v>440</v>
      </c>
      <c r="C237" s="62" t="s">
        <v>287</v>
      </c>
      <c r="D237" s="63" t="s">
        <v>299</v>
      </c>
      <c r="E237" s="63"/>
      <c r="F237" s="66">
        <f>F238</f>
        <v>100000</v>
      </c>
      <c r="G237" s="66">
        <f>G238</f>
        <v>0</v>
      </c>
      <c r="H237" s="64">
        <f>SUM(F237:G237)</f>
        <v>100000</v>
      </c>
      <c r="I237" s="33"/>
    </row>
    <row r="238" spans="1:8" s="33" customFormat="1" ht="31.5">
      <c r="A238" s="68" t="s">
        <v>121</v>
      </c>
      <c r="B238" s="63">
        <v>440</v>
      </c>
      <c r="C238" s="62" t="s">
        <v>287</v>
      </c>
      <c r="D238" s="63" t="s">
        <v>299</v>
      </c>
      <c r="E238" s="63">
        <v>200</v>
      </c>
      <c r="F238" s="66">
        <f>F239</f>
        <v>100000</v>
      </c>
      <c r="G238" s="66">
        <f>G239</f>
        <v>0</v>
      </c>
      <c r="H238" s="64">
        <f>SUM(F238:G238)</f>
        <v>100000</v>
      </c>
    </row>
    <row r="239" spans="1:8" s="33" customFormat="1" ht="31.5">
      <c r="A239" s="68" t="s">
        <v>123</v>
      </c>
      <c r="B239" s="63">
        <v>440</v>
      </c>
      <c r="C239" s="62" t="s">
        <v>287</v>
      </c>
      <c r="D239" s="63" t="s">
        <v>299</v>
      </c>
      <c r="E239" s="63">
        <v>240</v>
      </c>
      <c r="F239" s="66">
        <v>100000</v>
      </c>
      <c r="G239" s="66">
        <v>0</v>
      </c>
      <c r="H239" s="64">
        <f>SUM(F239:G239)</f>
        <v>100000</v>
      </c>
    </row>
    <row r="240" spans="1:8" s="33" customFormat="1" ht="31.5">
      <c r="A240" s="65" t="s">
        <v>300</v>
      </c>
      <c r="B240" s="63">
        <v>440</v>
      </c>
      <c r="C240" s="62" t="s">
        <v>287</v>
      </c>
      <c r="D240" s="63" t="s">
        <v>301</v>
      </c>
      <c r="E240" s="63"/>
      <c r="F240" s="66">
        <f>SUM(F241,F244,F247)</f>
        <v>14500000</v>
      </c>
      <c r="G240" s="66">
        <f>SUM(G241,G244,G247)</f>
        <v>4600000</v>
      </c>
      <c r="H240" s="64">
        <f>SUM(F240:G240)</f>
        <v>19100000</v>
      </c>
    </row>
    <row r="241" spans="1:8" s="33" customFormat="1" ht="47.25">
      <c r="A241" s="65" t="s">
        <v>302</v>
      </c>
      <c r="B241" s="63">
        <v>440</v>
      </c>
      <c r="C241" s="62" t="s">
        <v>287</v>
      </c>
      <c r="D241" s="63" t="s">
        <v>303</v>
      </c>
      <c r="E241" s="63"/>
      <c r="F241" s="66">
        <f>F242</f>
        <v>1500000</v>
      </c>
      <c r="G241" s="66">
        <f>G242</f>
        <v>0</v>
      </c>
      <c r="H241" s="64">
        <f>SUM(F241:G241)</f>
        <v>1500000</v>
      </c>
    </row>
    <row r="242" spans="1:8" s="33" customFormat="1" ht="15.75">
      <c r="A242" s="65" t="s">
        <v>129</v>
      </c>
      <c r="B242" s="63">
        <v>440</v>
      </c>
      <c r="C242" s="62" t="s">
        <v>287</v>
      </c>
      <c r="D242" s="63" t="s">
        <v>303</v>
      </c>
      <c r="E242" s="63">
        <v>800</v>
      </c>
      <c r="F242" s="66">
        <f>F243</f>
        <v>1500000</v>
      </c>
      <c r="G242" s="66">
        <f>G243</f>
        <v>0</v>
      </c>
      <c r="H242" s="64">
        <f>SUM(F242:G242)</f>
        <v>1500000</v>
      </c>
    </row>
    <row r="243" spans="1:8" s="33" customFormat="1" ht="47.25">
      <c r="A243" s="65" t="s">
        <v>243</v>
      </c>
      <c r="B243" s="63">
        <v>440</v>
      </c>
      <c r="C243" s="62" t="s">
        <v>287</v>
      </c>
      <c r="D243" s="63" t="s">
        <v>303</v>
      </c>
      <c r="E243" s="63">
        <v>810</v>
      </c>
      <c r="F243" s="66">
        <v>1500000</v>
      </c>
      <c r="G243" s="66">
        <v>0</v>
      </c>
      <c r="H243" s="64">
        <f>SUM(F243:G243)</f>
        <v>1500000</v>
      </c>
    </row>
    <row r="244" spans="1:8" s="33" customFormat="1" ht="31.5">
      <c r="A244" s="65" t="s">
        <v>304</v>
      </c>
      <c r="B244" s="63">
        <v>440</v>
      </c>
      <c r="C244" s="62" t="s">
        <v>287</v>
      </c>
      <c r="D244" s="63" t="s">
        <v>305</v>
      </c>
      <c r="E244" s="63"/>
      <c r="F244" s="66">
        <f>F245</f>
        <v>10000000</v>
      </c>
      <c r="G244" s="66">
        <f>G245</f>
        <v>0</v>
      </c>
      <c r="H244" s="64">
        <f>SUM(F244:G244)</f>
        <v>10000000</v>
      </c>
    </row>
    <row r="245" spans="1:8" s="33" customFormat="1" ht="15.75">
      <c r="A245" s="65" t="s">
        <v>129</v>
      </c>
      <c r="B245" s="63">
        <v>440</v>
      </c>
      <c r="C245" s="62" t="s">
        <v>287</v>
      </c>
      <c r="D245" s="63" t="s">
        <v>305</v>
      </c>
      <c r="E245" s="63">
        <v>800</v>
      </c>
      <c r="F245" s="66">
        <f>F246</f>
        <v>10000000</v>
      </c>
      <c r="G245" s="66">
        <f>G246</f>
        <v>0</v>
      </c>
      <c r="H245" s="64">
        <f>SUM(F245:G245)</f>
        <v>10000000</v>
      </c>
    </row>
    <row r="246" spans="1:8" s="33" customFormat="1" ht="47.25">
      <c r="A246" s="65" t="s">
        <v>243</v>
      </c>
      <c r="B246" s="63">
        <v>440</v>
      </c>
      <c r="C246" s="62" t="s">
        <v>287</v>
      </c>
      <c r="D246" s="63" t="s">
        <v>305</v>
      </c>
      <c r="E246" s="63">
        <v>810</v>
      </c>
      <c r="F246" s="66">
        <v>10000000</v>
      </c>
      <c r="G246" s="66">
        <v>0</v>
      </c>
      <c r="H246" s="64">
        <f>SUM(F246:G246)</f>
        <v>10000000</v>
      </c>
    </row>
    <row r="247" spans="1:8" s="33" customFormat="1" ht="141.75">
      <c r="A247" s="96" t="s">
        <v>306</v>
      </c>
      <c r="B247" s="63">
        <v>440</v>
      </c>
      <c r="C247" s="62" t="s">
        <v>287</v>
      </c>
      <c r="D247" s="63" t="s">
        <v>307</v>
      </c>
      <c r="E247" s="63"/>
      <c r="F247" s="69">
        <f>F248</f>
        <v>3000000</v>
      </c>
      <c r="G247" s="69">
        <f>G248</f>
        <v>4600000</v>
      </c>
      <c r="H247" s="64">
        <f>SUM(F247:G247)</f>
        <v>7600000</v>
      </c>
    </row>
    <row r="248" spans="1:8" s="33" customFormat="1" ht="31.5">
      <c r="A248" s="68" t="s">
        <v>167</v>
      </c>
      <c r="B248" s="63">
        <v>440</v>
      </c>
      <c r="C248" s="62" t="s">
        <v>287</v>
      </c>
      <c r="D248" s="63" t="s">
        <v>307</v>
      </c>
      <c r="E248" s="63">
        <v>600</v>
      </c>
      <c r="F248" s="69">
        <f>F249</f>
        <v>3000000</v>
      </c>
      <c r="G248" s="69">
        <f>G249</f>
        <v>4600000</v>
      </c>
      <c r="H248" s="64">
        <f>SUM(F248:G248)</f>
        <v>7600000</v>
      </c>
    </row>
    <row r="249" spans="1:8" s="33" customFormat="1" ht="31.5">
      <c r="A249" s="68" t="s">
        <v>177</v>
      </c>
      <c r="B249" s="63">
        <v>440</v>
      </c>
      <c r="C249" s="62" t="s">
        <v>287</v>
      </c>
      <c r="D249" s="63" t="s">
        <v>307</v>
      </c>
      <c r="E249" s="63">
        <v>630</v>
      </c>
      <c r="F249" s="69">
        <v>3000000</v>
      </c>
      <c r="G249" s="69">
        <v>4600000</v>
      </c>
      <c r="H249" s="64">
        <f>SUM(F249:G249)</f>
        <v>7600000</v>
      </c>
    </row>
    <row r="250" spans="1:8" s="33" customFormat="1" ht="47.25">
      <c r="A250" s="65" t="s">
        <v>180</v>
      </c>
      <c r="B250" s="61" t="s">
        <v>104</v>
      </c>
      <c r="C250" s="62" t="s">
        <v>287</v>
      </c>
      <c r="D250" s="63" t="s">
        <v>181</v>
      </c>
      <c r="E250" s="63"/>
      <c r="F250" s="66">
        <f>F251</f>
        <v>3927567.67</v>
      </c>
      <c r="G250" s="66">
        <f>G251</f>
        <v>0</v>
      </c>
      <c r="H250" s="64">
        <f>SUM(F250:G250)</f>
        <v>3927567.67</v>
      </c>
    </row>
    <row r="251" spans="1:8" s="33" customFormat="1" ht="47.25">
      <c r="A251" s="65" t="s">
        <v>194</v>
      </c>
      <c r="B251" s="61" t="s">
        <v>104</v>
      </c>
      <c r="C251" s="62" t="s">
        <v>287</v>
      </c>
      <c r="D251" s="63" t="s">
        <v>195</v>
      </c>
      <c r="E251" s="63"/>
      <c r="F251" s="66">
        <f>SUM(F252,F255,F261,F258)</f>
        <v>3927567.67</v>
      </c>
      <c r="G251" s="66">
        <f>SUM(G252,G255,G261,G258)</f>
        <v>0</v>
      </c>
      <c r="H251" s="64">
        <f>SUM(F251:G251)</f>
        <v>3927567.67</v>
      </c>
    </row>
    <row r="252" spans="1:8" s="33" customFormat="1" ht="94.5">
      <c r="A252" s="68" t="s">
        <v>308</v>
      </c>
      <c r="B252" s="61" t="s">
        <v>104</v>
      </c>
      <c r="C252" s="62" t="s">
        <v>287</v>
      </c>
      <c r="D252" s="63" t="s">
        <v>309</v>
      </c>
      <c r="E252" s="63"/>
      <c r="F252" s="66">
        <f>F253</f>
        <v>57801</v>
      </c>
      <c r="G252" s="66">
        <f>G253</f>
        <v>0</v>
      </c>
      <c r="H252" s="64">
        <f>SUM(F252:G252)</f>
        <v>57801</v>
      </c>
    </row>
    <row r="253" spans="1:8" s="33" customFormat="1" ht="31.5">
      <c r="A253" s="68" t="s">
        <v>121</v>
      </c>
      <c r="B253" s="61" t="s">
        <v>104</v>
      </c>
      <c r="C253" s="62" t="s">
        <v>287</v>
      </c>
      <c r="D253" s="63" t="s">
        <v>309</v>
      </c>
      <c r="E253" s="63">
        <v>200</v>
      </c>
      <c r="F253" s="66">
        <f>F254</f>
        <v>57801</v>
      </c>
      <c r="G253" s="66">
        <f>G254</f>
        <v>0</v>
      </c>
      <c r="H253" s="64">
        <f>SUM(F253:G253)</f>
        <v>57801</v>
      </c>
    </row>
    <row r="254" spans="1:8" s="33" customFormat="1" ht="31.5">
      <c r="A254" s="68" t="s">
        <v>123</v>
      </c>
      <c r="B254" s="61" t="s">
        <v>104</v>
      </c>
      <c r="C254" s="62" t="s">
        <v>287</v>
      </c>
      <c r="D254" s="63" t="s">
        <v>309</v>
      </c>
      <c r="E254" s="63">
        <v>240</v>
      </c>
      <c r="F254" s="66">
        <f>52020.9+5780.1</f>
        <v>57801</v>
      </c>
      <c r="G254" s="66">
        <v>0</v>
      </c>
      <c r="H254" s="64">
        <f>SUM(F254:G254)</f>
        <v>57801</v>
      </c>
    </row>
    <row r="255" spans="1:9" s="45" customFormat="1" ht="80.25" customHeight="1">
      <c r="A255" s="96" t="s">
        <v>310</v>
      </c>
      <c r="B255" s="61" t="s">
        <v>104</v>
      </c>
      <c r="C255" s="62" t="s">
        <v>287</v>
      </c>
      <c r="D255" s="63" t="s">
        <v>311</v>
      </c>
      <c r="E255" s="63"/>
      <c r="F255" s="66">
        <f>F256</f>
        <v>3203100</v>
      </c>
      <c r="G255" s="66">
        <f>G256</f>
        <v>0</v>
      </c>
      <c r="H255" s="64">
        <f>SUM(F255:G255)</f>
        <v>3203100</v>
      </c>
      <c r="I255" s="33"/>
    </row>
    <row r="256" spans="1:9" s="45" customFormat="1" ht="31.5">
      <c r="A256" s="68" t="s">
        <v>121</v>
      </c>
      <c r="B256" s="61" t="s">
        <v>104</v>
      </c>
      <c r="C256" s="62" t="s">
        <v>287</v>
      </c>
      <c r="D256" s="63" t="s">
        <v>311</v>
      </c>
      <c r="E256" s="63">
        <v>200</v>
      </c>
      <c r="F256" s="66">
        <f>F257</f>
        <v>3203100</v>
      </c>
      <c r="G256" s="66">
        <f>G257</f>
        <v>0</v>
      </c>
      <c r="H256" s="64">
        <f>SUM(F256:G256)</f>
        <v>3203100</v>
      </c>
      <c r="I256" s="33"/>
    </row>
    <row r="257" spans="1:9" s="45" customFormat="1" ht="31.5">
      <c r="A257" s="68" t="s">
        <v>123</v>
      </c>
      <c r="B257" s="61" t="s">
        <v>104</v>
      </c>
      <c r="C257" s="62" t="s">
        <v>287</v>
      </c>
      <c r="D257" s="63" t="s">
        <v>311</v>
      </c>
      <c r="E257" s="63">
        <v>240</v>
      </c>
      <c r="F257" s="66">
        <f>2882790+320310</f>
        <v>3203100</v>
      </c>
      <c r="G257" s="66">
        <v>0</v>
      </c>
      <c r="H257" s="64">
        <f>SUM(F257:G257)</f>
        <v>3203100</v>
      </c>
      <c r="I257" s="33"/>
    </row>
    <row r="258" spans="1:9" s="45" customFormat="1" ht="97.5" customHeight="1">
      <c r="A258" s="68" t="s">
        <v>312</v>
      </c>
      <c r="B258" s="61" t="s">
        <v>104</v>
      </c>
      <c r="C258" s="62" t="s">
        <v>287</v>
      </c>
      <c r="D258" s="63" t="s">
        <v>313</v>
      </c>
      <c r="E258" s="63"/>
      <c r="F258" s="66">
        <f>F259</f>
        <v>166666.66999999998</v>
      </c>
      <c r="G258" s="66">
        <f>G259</f>
        <v>0</v>
      </c>
      <c r="H258" s="64">
        <f>SUM(F258:G258)</f>
        <v>166666.66999999998</v>
      </c>
      <c r="I258" s="33"/>
    </row>
    <row r="259" spans="1:9" s="45" customFormat="1" ht="31.5">
      <c r="A259" s="68" t="s">
        <v>121</v>
      </c>
      <c r="B259" s="61" t="s">
        <v>104</v>
      </c>
      <c r="C259" s="62" t="s">
        <v>287</v>
      </c>
      <c r="D259" s="63" t="s">
        <v>313</v>
      </c>
      <c r="E259" s="63">
        <v>200</v>
      </c>
      <c r="F259" s="66">
        <f>F260</f>
        <v>166666.66999999998</v>
      </c>
      <c r="G259" s="66">
        <f>G260</f>
        <v>0</v>
      </c>
      <c r="H259" s="64">
        <f>SUM(F259:G259)</f>
        <v>166666.66999999998</v>
      </c>
      <c r="I259" s="33"/>
    </row>
    <row r="260" spans="1:9" s="45" customFormat="1" ht="31.5">
      <c r="A260" s="68" t="s">
        <v>123</v>
      </c>
      <c r="B260" s="61" t="s">
        <v>104</v>
      </c>
      <c r="C260" s="62" t="s">
        <v>287</v>
      </c>
      <c r="D260" s="63" t="s">
        <v>313</v>
      </c>
      <c r="E260" s="63">
        <v>240</v>
      </c>
      <c r="F260" s="66">
        <f>150000+16666.67</f>
        <v>166666.66999999998</v>
      </c>
      <c r="G260" s="66">
        <v>0</v>
      </c>
      <c r="H260" s="64">
        <f>SUM(F260:G260)</f>
        <v>166666.66999999998</v>
      </c>
      <c r="I260" s="33"/>
    </row>
    <row r="261" spans="1:9" s="45" customFormat="1" ht="63">
      <c r="A261" s="68" t="s">
        <v>314</v>
      </c>
      <c r="B261" s="61" t="s">
        <v>104</v>
      </c>
      <c r="C261" s="62" t="s">
        <v>287</v>
      </c>
      <c r="D261" s="63" t="s">
        <v>315</v>
      </c>
      <c r="E261" s="63"/>
      <c r="F261" s="66">
        <f>F262</f>
        <v>500000</v>
      </c>
      <c r="G261" s="66">
        <f>G262</f>
        <v>0</v>
      </c>
      <c r="H261" s="64">
        <f>SUM(F261:G261)</f>
        <v>500000</v>
      </c>
      <c r="I261" s="33"/>
    </row>
    <row r="262" spans="1:9" s="45" customFormat="1" ht="31.5">
      <c r="A262" s="68" t="s">
        <v>121</v>
      </c>
      <c r="B262" s="61" t="s">
        <v>104</v>
      </c>
      <c r="C262" s="62" t="s">
        <v>287</v>
      </c>
      <c r="D262" s="63" t="s">
        <v>315</v>
      </c>
      <c r="E262" s="63">
        <v>200</v>
      </c>
      <c r="F262" s="66">
        <f>F263</f>
        <v>500000</v>
      </c>
      <c r="G262" s="66">
        <f>G263</f>
        <v>0</v>
      </c>
      <c r="H262" s="64">
        <f>SUM(F262:G262)</f>
        <v>500000</v>
      </c>
      <c r="I262" s="33"/>
    </row>
    <row r="263" spans="1:9" s="45" customFormat="1" ht="31.5">
      <c r="A263" s="68" t="s">
        <v>123</v>
      </c>
      <c r="B263" s="61" t="s">
        <v>104</v>
      </c>
      <c r="C263" s="62" t="s">
        <v>287</v>
      </c>
      <c r="D263" s="63" t="s">
        <v>315</v>
      </c>
      <c r="E263" s="63">
        <v>240</v>
      </c>
      <c r="F263" s="66">
        <f>500000</f>
        <v>500000</v>
      </c>
      <c r="G263" s="66">
        <v>0</v>
      </c>
      <c r="H263" s="64">
        <f>SUM(F263:G263)</f>
        <v>500000</v>
      </c>
      <c r="I263" s="33"/>
    </row>
    <row r="264" spans="1:9" s="45" customFormat="1" ht="15.75">
      <c r="A264" s="60" t="s">
        <v>109</v>
      </c>
      <c r="B264" s="61" t="s">
        <v>104</v>
      </c>
      <c r="C264" s="62" t="s">
        <v>287</v>
      </c>
      <c r="D264" s="63" t="s">
        <v>110</v>
      </c>
      <c r="E264" s="63"/>
      <c r="F264" s="66">
        <f>F265</f>
        <v>28755</v>
      </c>
      <c r="G264" s="66">
        <f>G265</f>
        <v>0</v>
      </c>
      <c r="H264" s="64">
        <f>SUM(F264:G264)</f>
        <v>28755</v>
      </c>
      <c r="I264" s="33"/>
    </row>
    <row r="265" spans="1:9" s="45" customFormat="1" ht="47.25">
      <c r="A265" s="65" t="s">
        <v>135</v>
      </c>
      <c r="B265" s="61" t="s">
        <v>104</v>
      </c>
      <c r="C265" s="62" t="s">
        <v>287</v>
      </c>
      <c r="D265" s="63" t="s">
        <v>136</v>
      </c>
      <c r="E265" s="63"/>
      <c r="F265" s="66">
        <f>F266</f>
        <v>28755</v>
      </c>
      <c r="G265" s="66">
        <f>G266</f>
        <v>0</v>
      </c>
      <c r="H265" s="64">
        <f>SUM(F265:G265)</f>
        <v>28755</v>
      </c>
      <c r="I265" s="33"/>
    </row>
    <row r="266" spans="1:9" s="45" customFormat="1" ht="47.25">
      <c r="A266" s="65" t="s">
        <v>316</v>
      </c>
      <c r="B266" s="61" t="s">
        <v>104</v>
      </c>
      <c r="C266" s="62" t="s">
        <v>287</v>
      </c>
      <c r="D266" s="63" t="s">
        <v>317</v>
      </c>
      <c r="E266" s="63"/>
      <c r="F266" s="66">
        <f>F267</f>
        <v>28755</v>
      </c>
      <c r="G266" s="66">
        <f>G267</f>
        <v>0</v>
      </c>
      <c r="H266" s="64">
        <f>SUM(F266:G266)</f>
        <v>28755</v>
      </c>
      <c r="I266" s="33"/>
    </row>
    <row r="267" spans="1:9" s="45" customFormat="1" ht="31.5">
      <c r="A267" s="68" t="s">
        <v>121</v>
      </c>
      <c r="B267" s="61" t="s">
        <v>104</v>
      </c>
      <c r="C267" s="62" t="s">
        <v>287</v>
      </c>
      <c r="D267" s="63" t="s">
        <v>317</v>
      </c>
      <c r="E267" s="63">
        <v>200</v>
      </c>
      <c r="F267" s="66">
        <f>F268</f>
        <v>28755</v>
      </c>
      <c r="G267" s="66">
        <f>G268</f>
        <v>0</v>
      </c>
      <c r="H267" s="64">
        <f>SUM(F267:G267)</f>
        <v>28755</v>
      </c>
      <c r="I267" s="33"/>
    </row>
    <row r="268" spans="1:9" s="45" customFormat="1" ht="31.5">
      <c r="A268" s="68" t="s">
        <v>123</v>
      </c>
      <c r="B268" s="61" t="s">
        <v>104</v>
      </c>
      <c r="C268" s="62" t="s">
        <v>287</v>
      </c>
      <c r="D268" s="63" t="s">
        <v>317</v>
      </c>
      <c r="E268" s="63">
        <v>240</v>
      </c>
      <c r="F268" s="66">
        <v>28755</v>
      </c>
      <c r="G268" s="66">
        <v>0</v>
      </c>
      <c r="H268" s="64">
        <f>SUM(F268:G268)</f>
        <v>28755</v>
      </c>
      <c r="I268" s="33"/>
    </row>
    <row r="269" spans="1:8" s="33" customFormat="1" ht="15.75">
      <c r="A269" s="52" t="s">
        <v>318</v>
      </c>
      <c r="B269" s="87" t="s">
        <v>104</v>
      </c>
      <c r="C269" s="53" t="s">
        <v>319</v>
      </c>
      <c r="D269" s="82"/>
      <c r="E269" s="82"/>
      <c r="F269" s="88">
        <f>SUM(F301,F270,F353,F413)</f>
        <v>446452644.90999997</v>
      </c>
      <c r="G269" s="88">
        <f>SUM(G301,G270,G353,G413)</f>
        <v>108291105.63</v>
      </c>
      <c r="H269" s="54">
        <f>SUM(F269:G269)</f>
        <v>554743750.54</v>
      </c>
    </row>
    <row r="270" spans="1:8" s="33" customFormat="1" ht="15.75">
      <c r="A270" s="55" t="s">
        <v>320</v>
      </c>
      <c r="B270" s="56" t="s">
        <v>104</v>
      </c>
      <c r="C270" s="57" t="s">
        <v>321</v>
      </c>
      <c r="D270" s="82"/>
      <c r="E270" s="82"/>
      <c r="F270" s="72">
        <f>SUM(F276,F289,F271,F296)</f>
        <v>58500000</v>
      </c>
      <c r="G270" s="72">
        <f>SUM(G276,G289,G271,G296)</f>
        <v>12599999</v>
      </c>
      <c r="H270" s="58">
        <f>SUM(F270:G270)</f>
        <v>71099999</v>
      </c>
    </row>
    <row r="271" spans="1:8" s="33" customFormat="1" ht="31.5">
      <c r="A271" s="65" t="s">
        <v>248</v>
      </c>
      <c r="B271" s="61" t="s">
        <v>104</v>
      </c>
      <c r="C271" s="62" t="s">
        <v>321</v>
      </c>
      <c r="D271" s="63" t="s">
        <v>249</v>
      </c>
      <c r="E271" s="97"/>
      <c r="F271" s="66">
        <f>F272</f>
        <v>2700000</v>
      </c>
      <c r="G271" s="66">
        <f>G272</f>
        <v>0</v>
      </c>
      <c r="H271" s="64">
        <f>SUM(F271:G271)</f>
        <v>2700000</v>
      </c>
    </row>
    <row r="272" spans="1:8" s="33" customFormat="1" ht="15.75">
      <c r="A272" s="60" t="s">
        <v>250</v>
      </c>
      <c r="B272" s="61" t="s">
        <v>104</v>
      </c>
      <c r="C272" s="62" t="s">
        <v>321</v>
      </c>
      <c r="D272" s="63" t="s">
        <v>251</v>
      </c>
      <c r="E272" s="63"/>
      <c r="F272" s="66">
        <f>F273</f>
        <v>2700000</v>
      </c>
      <c r="G272" s="66">
        <f>G273</f>
        <v>0</v>
      </c>
      <c r="H272" s="64">
        <f>SUM(F272:G272)</f>
        <v>2700000</v>
      </c>
    </row>
    <row r="273" spans="1:8" s="33" customFormat="1" ht="78.75">
      <c r="A273" s="65" t="s">
        <v>322</v>
      </c>
      <c r="B273" s="61" t="s">
        <v>104</v>
      </c>
      <c r="C273" s="62" t="s">
        <v>321</v>
      </c>
      <c r="D273" s="63" t="s">
        <v>323</v>
      </c>
      <c r="E273" s="63"/>
      <c r="F273" s="66">
        <f>F274</f>
        <v>2700000</v>
      </c>
      <c r="G273" s="66">
        <f>G274</f>
        <v>0</v>
      </c>
      <c r="H273" s="64">
        <f>SUM(F273:G273)</f>
        <v>2700000</v>
      </c>
    </row>
    <row r="274" spans="1:8" s="33" customFormat="1" ht="31.5">
      <c r="A274" s="65" t="s">
        <v>270</v>
      </c>
      <c r="B274" s="61" t="s">
        <v>104</v>
      </c>
      <c r="C274" s="62" t="s">
        <v>321</v>
      </c>
      <c r="D274" s="63" t="s">
        <v>323</v>
      </c>
      <c r="E274" s="63">
        <v>400</v>
      </c>
      <c r="F274" s="66">
        <f>F275</f>
        <v>2700000</v>
      </c>
      <c r="G274" s="66">
        <f>G275</f>
        <v>0</v>
      </c>
      <c r="H274" s="64">
        <f>SUM(F274:G274)</f>
        <v>2700000</v>
      </c>
    </row>
    <row r="275" spans="1:8" s="33" customFormat="1" ht="15.75">
      <c r="A275" s="65" t="s">
        <v>271</v>
      </c>
      <c r="B275" s="61" t="s">
        <v>104</v>
      </c>
      <c r="C275" s="62" t="s">
        <v>321</v>
      </c>
      <c r="D275" s="63" t="s">
        <v>323</v>
      </c>
      <c r="E275" s="63">
        <v>410</v>
      </c>
      <c r="F275" s="66">
        <v>2700000</v>
      </c>
      <c r="G275" s="66">
        <v>0</v>
      </c>
      <c r="H275" s="64">
        <f>SUM(F275:G275)</f>
        <v>2700000</v>
      </c>
    </row>
    <row r="276" spans="1:8" s="33" customFormat="1" ht="47.25">
      <c r="A276" s="65" t="s">
        <v>324</v>
      </c>
      <c r="B276" s="61" t="s">
        <v>104</v>
      </c>
      <c r="C276" s="62" t="s">
        <v>321</v>
      </c>
      <c r="D276" s="63" t="s">
        <v>151</v>
      </c>
      <c r="E276" s="63"/>
      <c r="F276" s="66">
        <f>SUM(F277,F280,F283,F286)</f>
        <v>54500000</v>
      </c>
      <c r="G276" s="66">
        <f>SUM(G277,G280,G283,G286)</f>
        <v>11600000</v>
      </c>
      <c r="H276" s="64">
        <f>SUM(F276:G276)</f>
        <v>66100000</v>
      </c>
    </row>
    <row r="277" spans="1:8" s="33" customFormat="1" ht="15.75">
      <c r="A277" s="65" t="s">
        <v>325</v>
      </c>
      <c r="B277" s="61" t="s">
        <v>104</v>
      </c>
      <c r="C277" s="62" t="s">
        <v>321</v>
      </c>
      <c r="D277" s="63" t="s">
        <v>326</v>
      </c>
      <c r="E277" s="63"/>
      <c r="F277" s="66">
        <f>F278</f>
        <v>300000</v>
      </c>
      <c r="G277" s="66">
        <f>G278</f>
        <v>0</v>
      </c>
      <c r="H277" s="64">
        <f>SUM(F277:G277)</f>
        <v>300000</v>
      </c>
    </row>
    <row r="278" spans="1:9" s="45" customFormat="1" ht="15.75">
      <c r="A278" s="68" t="s">
        <v>129</v>
      </c>
      <c r="B278" s="61" t="s">
        <v>104</v>
      </c>
      <c r="C278" s="62" t="s">
        <v>321</v>
      </c>
      <c r="D278" s="63" t="s">
        <v>326</v>
      </c>
      <c r="E278" s="63">
        <v>800</v>
      </c>
      <c r="F278" s="66">
        <f>F279</f>
        <v>300000</v>
      </c>
      <c r="G278" s="66">
        <f>G279</f>
        <v>0</v>
      </c>
      <c r="H278" s="64">
        <f>SUM(F278:G278)</f>
        <v>300000</v>
      </c>
      <c r="I278" s="33"/>
    </row>
    <row r="279" spans="1:8" s="33" customFormat="1" ht="47.25">
      <c r="A279" s="65" t="s">
        <v>243</v>
      </c>
      <c r="B279" s="61" t="s">
        <v>104</v>
      </c>
      <c r="C279" s="62" t="s">
        <v>321</v>
      </c>
      <c r="D279" s="63" t="s">
        <v>326</v>
      </c>
      <c r="E279" s="63">
        <v>810</v>
      </c>
      <c r="F279" s="66">
        <v>300000</v>
      </c>
      <c r="G279" s="66">
        <v>0</v>
      </c>
      <c r="H279" s="64">
        <f>SUM(F279:G279)</f>
        <v>300000</v>
      </c>
    </row>
    <row r="280" spans="1:9" s="45" customFormat="1" ht="31.5">
      <c r="A280" s="65" t="s">
        <v>327</v>
      </c>
      <c r="B280" s="61" t="s">
        <v>104</v>
      </c>
      <c r="C280" s="62" t="s">
        <v>321</v>
      </c>
      <c r="D280" s="63" t="s">
        <v>328</v>
      </c>
      <c r="E280" s="63"/>
      <c r="F280" s="66">
        <f>F281</f>
        <v>52000000</v>
      </c>
      <c r="G280" s="66">
        <f>G281</f>
        <v>9600000</v>
      </c>
      <c r="H280" s="64">
        <f>SUM(F280:G280)</f>
        <v>61600000</v>
      </c>
      <c r="I280" s="33"/>
    </row>
    <row r="281" spans="1:8" s="33" customFormat="1" ht="15.75">
      <c r="A281" s="65" t="s">
        <v>129</v>
      </c>
      <c r="B281" s="61" t="s">
        <v>104</v>
      </c>
      <c r="C281" s="62" t="s">
        <v>321</v>
      </c>
      <c r="D281" s="63" t="s">
        <v>328</v>
      </c>
      <c r="E281" s="63">
        <v>800</v>
      </c>
      <c r="F281" s="66">
        <f>F282</f>
        <v>52000000</v>
      </c>
      <c r="G281" s="66">
        <f>G282</f>
        <v>9600000</v>
      </c>
      <c r="H281" s="64">
        <f>SUM(F281:G281)</f>
        <v>61600000</v>
      </c>
    </row>
    <row r="282" spans="1:8" s="33" customFormat="1" ht="47.25">
      <c r="A282" s="65" t="s">
        <v>243</v>
      </c>
      <c r="B282" s="61" t="s">
        <v>104</v>
      </c>
      <c r="C282" s="62" t="s">
        <v>321</v>
      </c>
      <c r="D282" s="63" t="s">
        <v>328</v>
      </c>
      <c r="E282" s="63">
        <v>810</v>
      </c>
      <c r="F282" s="66">
        <v>52000000</v>
      </c>
      <c r="G282" s="66">
        <v>9600000</v>
      </c>
      <c r="H282" s="64">
        <f>SUM(F282:G282)</f>
        <v>61600000</v>
      </c>
    </row>
    <row r="283" spans="1:8" s="33" customFormat="1" ht="31.5">
      <c r="A283" s="65" t="s">
        <v>329</v>
      </c>
      <c r="B283" s="61" t="s">
        <v>104</v>
      </c>
      <c r="C283" s="62" t="s">
        <v>321</v>
      </c>
      <c r="D283" s="63" t="s">
        <v>330</v>
      </c>
      <c r="E283" s="63"/>
      <c r="F283" s="66">
        <f>F284</f>
        <v>2000000</v>
      </c>
      <c r="G283" s="66">
        <f>G284</f>
        <v>2000000</v>
      </c>
      <c r="H283" s="64">
        <f>SUM(F283:G283)</f>
        <v>4000000</v>
      </c>
    </row>
    <row r="284" spans="1:8" s="33" customFormat="1" ht="15.75">
      <c r="A284" s="65" t="s">
        <v>129</v>
      </c>
      <c r="B284" s="61" t="s">
        <v>104</v>
      </c>
      <c r="C284" s="62" t="s">
        <v>321</v>
      </c>
      <c r="D284" s="63" t="s">
        <v>330</v>
      </c>
      <c r="E284" s="63">
        <v>800</v>
      </c>
      <c r="F284" s="66">
        <f>F285</f>
        <v>2000000</v>
      </c>
      <c r="G284" s="66">
        <f>G285</f>
        <v>2000000</v>
      </c>
      <c r="H284" s="64">
        <f>SUM(F284:G284)</f>
        <v>4000000</v>
      </c>
    </row>
    <row r="285" spans="1:8" s="33" customFormat="1" ht="47.25">
      <c r="A285" s="65" t="s">
        <v>243</v>
      </c>
      <c r="B285" s="61" t="s">
        <v>104</v>
      </c>
      <c r="C285" s="62" t="s">
        <v>321</v>
      </c>
      <c r="D285" s="63" t="s">
        <v>330</v>
      </c>
      <c r="E285" s="63">
        <v>810</v>
      </c>
      <c r="F285" s="66">
        <v>2000000</v>
      </c>
      <c r="G285" s="66">
        <v>2000000</v>
      </c>
      <c r="H285" s="64">
        <f>SUM(F285:G285)</f>
        <v>4000000</v>
      </c>
    </row>
    <row r="286" spans="1:8" s="33" customFormat="1" ht="31.5">
      <c r="A286" s="65" t="s">
        <v>331</v>
      </c>
      <c r="B286" s="61" t="s">
        <v>104</v>
      </c>
      <c r="C286" s="62" t="s">
        <v>321</v>
      </c>
      <c r="D286" s="63" t="s">
        <v>332</v>
      </c>
      <c r="E286" s="63"/>
      <c r="F286" s="66">
        <f>F287</f>
        <v>200000</v>
      </c>
      <c r="G286" s="66">
        <f>G287</f>
        <v>0</v>
      </c>
      <c r="H286" s="64">
        <f>SUM(F286:G286)</f>
        <v>200000</v>
      </c>
    </row>
    <row r="287" spans="1:8" s="33" customFormat="1" ht="15.75">
      <c r="A287" s="65" t="s">
        <v>129</v>
      </c>
      <c r="B287" s="61" t="s">
        <v>104</v>
      </c>
      <c r="C287" s="62" t="s">
        <v>321</v>
      </c>
      <c r="D287" s="63" t="s">
        <v>332</v>
      </c>
      <c r="E287" s="63">
        <v>800</v>
      </c>
      <c r="F287" s="66">
        <f>F288</f>
        <v>200000</v>
      </c>
      <c r="G287" s="66">
        <f>G288</f>
        <v>0</v>
      </c>
      <c r="H287" s="64">
        <f>SUM(F287:G287)</f>
        <v>200000</v>
      </c>
    </row>
    <row r="288" spans="1:8" s="33" customFormat="1" ht="47.25">
      <c r="A288" s="65" t="s">
        <v>243</v>
      </c>
      <c r="B288" s="61" t="s">
        <v>104</v>
      </c>
      <c r="C288" s="62" t="s">
        <v>321</v>
      </c>
      <c r="D288" s="63" t="s">
        <v>332</v>
      </c>
      <c r="E288" s="63">
        <v>810</v>
      </c>
      <c r="F288" s="66">
        <v>200000</v>
      </c>
      <c r="G288" s="66">
        <v>0</v>
      </c>
      <c r="H288" s="64">
        <f>SUM(F288:G288)</f>
        <v>200000</v>
      </c>
    </row>
    <row r="289" spans="1:8" ht="47.25">
      <c r="A289" s="65" t="s">
        <v>333</v>
      </c>
      <c r="B289" s="61" t="s">
        <v>104</v>
      </c>
      <c r="C289" s="62" t="s">
        <v>321</v>
      </c>
      <c r="D289" s="63" t="s">
        <v>334</v>
      </c>
      <c r="E289" s="63"/>
      <c r="F289" s="66">
        <f>F290+F293</f>
        <v>1300000</v>
      </c>
      <c r="G289" s="66">
        <f>G290+G293</f>
        <v>0</v>
      </c>
      <c r="H289" s="64">
        <f>SUM(F289:G289)</f>
        <v>1300000</v>
      </c>
    </row>
    <row r="290" spans="1:8" ht="47.25">
      <c r="A290" s="65" t="s">
        <v>335</v>
      </c>
      <c r="B290" s="61" t="s">
        <v>104</v>
      </c>
      <c r="C290" s="62" t="s">
        <v>321</v>
      </c>
      <c r="D290" s="63" t="s">
        <v>336</v>
      </c>
      <c r="E290" s="63"/>
      <c r="F290" s="66">
        <f>F291</f>
        <v>300000</v>
      </c>
      <c r="G290" s="66">
        <f>G291</f>
        <v>0</v>
      </c>
      <c r="H290" s="64">
        <f>SUM(F290:G290)</f>
        <v>300000</v>
      </c>
    </row>
    <row r="291" spans="1:8" ht="15.75">
      <c r="A291" s="68" t="s">
        <v>129</v>
      </c>
      <c r="B291" s="61" t="s">
        <v>104</v>
      </c>
      <c r="C291" s="62" t="s">
        <v>321</v>
      </c>
      <c r="D291" s="63" t="s">
        <v>336</v>
      </c>
      <c r="E291" s="63">
        <v>800</v>
      </c>
      <c r="F291" s="66">
        <f>F292</f>
        <v>300000</v>
      </c>
      <c r="G291" s="66">
        <f>G292</f>
        <v>0</v>
      </c>
      <c r="H291" s="64">
        <f>SUM(F291:G291)</f>
        <v>300000</v>
      </c>
    </row>
    <row r="292" spans="1:8" ht="47.25">
      <c r="A292" s="65" t="s">
        <v>243</v>
      </c>
      <c r="B292" s="61" t="s">
        <v>104</v>
      </c>
      <c r="C292" s="62" t="s">
        <v>321</v>
      </c>
      <c r="D292" s="63" t="s">
        <v>336</v>
      </c>
      <c r="E292" s="63">
        <v>810</v>
      </c>
      <c r="F292" s="69">
        <v>300000</v>
      </c>
      <c r="G292" s="69">
        <v>0</v>
      </c>
      <c r="H292" s="64">
        <f>SUM(F292:G292)</f>
        <v>300000</v>
      </c>
    </row>
    <row r="293" spans="1:8" ht="15.75">
      <c r="A293" s="65" t="s">
        <v>337</v>
      </c>
      <c r="B293" s="61" t="s">
        <v>104</v>
      </c>
      <c r="C293" s="62" t="s">
        <v>321</v>
      </c>
      <c r="D293" s="63" t="s">
        <v>338</v>
      </c>
      <c r="E293" s="63"/>
      <c r="F293" s="69">
        <f>F294</f>
        <v>1000000</v>
      </c>
      <c r="G293" s="69">
        <f>G294</f>
        <v>0</v>
      </c>
      <c r="H293" s="64">
        <f>SUM(F293:G293)</f>
        <v>1000000</v>
      </c>
    </row>
    <row r="294" spans="1:8" ht="15.75">
      <c r="A294" s="68" t="s">
        <v>129</v>
      </c>
      <c r="B294" s="61" t="s">
        <v>104</v>
      </c>
      <c r="C294" s="62" t="s">
        <v>321</v>
      </c>
      <c r="D294" s="63" t="s">
        <v>338</v>
      </c>
      <c r="E294" s="63">
        <v>800</v>
      </c>
      <c r="F294" s="69">
        <f>F295</f>
        <v>1000000</v>
      </c>
      <c r="G294" s="69">
        <f>G295</f>
        <v>0</v>
      </c>
      <c r="H294" s="64">
        <f>SUM(F294:G294)</f>
        <v>1000000</v>
      </c>
    </row>
    <row r="295" spans="1:8" ht="47.25">
      <c r="A295" s="65" t="s">
        <v>243</v>
      </c>
      <c r="B295" s="61" t="s">
        <v>104</v>
      </c>
      <c r="C295" s="62" t="s">
        <v>321</v>
      </c>
      <c r="D295" s="63" t="s">
        <v>338</v>
      </c>
      <c r="E295" s="63">
        <v>810</v>
      </c>
      <c r="F295" s="69">
        <v>1000000</v>
      </c>
      <c r="G295" s="69">
        <v>0</v>
      </c>
      <c r="H295" s="64">
        <f>SUM(F295:G295)</f>
        <v>1000000</v>
      </c>
    </row>
    <row r="296" spans="1:8" ht="15.75" customHeight="1">
      <c r="A296" s="65" t="s">
        <v>109</v>
      </c>
      <c r="B296" s="61" t="s">
        <v>104</v>
      </c>
      <c r="C296" s="62" t="s">
        <v>321</v>
      </c>
      <c r="D296" s="63" t="s">
        <v>110</v>
      </c>
      <c r="E296" s="63"/>
      <c r="F296" s="69">
        <f>F297</f>
        <v>0</v>
      </c>
      <c r="G296" s="69">
        <f>G297</f>
        <v>999999</v>
      </c>
      <c r="H296" s="64">
        <f>SUM(F296:G296)</f>
        <v>999999</v>
      </c>
    </row>
    <row r="297" spans="1:8" ht="36" customHeight="1">
      <c r="A297" s="65" t="s">
        <v>142</v>
      </c>
      <c r="B297" s="61" t="s">
        <v>104</v>
      </c>
      <c r="C297" s="62" t="s">
        <v>321</v>
      </c>
      <c r="D297" s="63" t="s">
        <v>143</v>
      </c>
      <c r="E297" s="63"/>
      <c r="F297" s="69">
        <f>F298</f>
        <v>0</v>
      </c>
      <c r="G297" s="69">
        <f>G298</f>
        <v>999999</v>
      </c>
      <c r="H297" s="64">
        <f>SUM(F297:G297)</f>
        <v>999999</v>
      </c>
    </row>
    <row r="298" spans="1:8" ht="35.25" customHeight="1">
      <c r="A298" s="65" t="s">
        <v>339</v>
      </c>
      <c r="B298" s="61" t="s">
        <v>104</v>
      </c>
      <c r="C298" s="62" t="s">
        <v>321</v>
      </c>
      <c r="D298" s="63" t="s">
        <v>340</v>
      </c>
      <c r="E298" s="63"/>
      <c r="F298" s="69">
        <f>F299</f>
        <v>0</v>
      </c>
      <c r="G298" s="69">
        <f>G299</f>
        <v>999999</v>
      </c>
      <c r="H298" s="64">
        <f>SUM(F298:G298)</f>
        <v>999999</v>
      </c>
    </row>
    <row r="299" spans="1:8" ht="31.5">
      <c r="A299" s="68" t="s">
        <v>121</v>
      </c>
      <c r="B299" s="61" t="s">
        <v>104</v>
      </c>
      <c r="C299" s="62" t="s">
        <v>321</v>
      </c>
      <c r="D299" s="63" t="s">
        <v>340</v>
      </c>
      <c r="E299" s="63">
        <v>200</v>
      </c>
      <c r="F299" s="69">
        <f>F300</f>
        <v>0</v>
      </c>
      <c r="G299" s="69">
        <f>G300</f>
        <v>999999</v>
      </c>
      <c r="H299" s="64">
        <f>SUM(F299:G299)</f>
        <v>999999</v>
      </c>
    </row>
    <row r="300" spans="1:8" ht="31.5">
      <c r="A300" s="68" t="s">
        <v>123</v>
      </c>
      <c r="B300" s="61" t="s">
        <v>104</v>
      </c>
      <c r="C300" s="62" t="s">
        <v>321</v>
      </c>
      <c r="D300" s="63" t="s">
        <v>340</v>
      </c>
      <c r="E300" s="63">
        <v>240</v>
      </c>
      <c r="F300" s="69">
        <v>0</v>
      </c>
      <c r="G300" s="69">
        <f>2000000-1000001</f>
        <v>999999</v>
      </c>
      <c r="H300" s="64">
        <f>SUM(F300:G300)</f>
        <v>999999</v>
      </c>
    </row>
    <row r="301" spans="1:8" ht="15.75">
      <c r="A301" s="55" t="s">
        <v>341</v>
      </c>
      <c r="B301" s="57" t="s">
        <v>104</v>
      </c>
      <c r="C301" s="57" t="s">
        <v>342</v>
      </c>
      <c r="D301" s="82"/>
      <c r="E301" s="82"/>
      <c r="F301" s="72">
        <f>SUM(F312,F302,F345)</f>
        <v>156212239.29</v>
      </c>
      <c r="G301" s="72">
        <f>SUM(G312,G302,G345)</f>
        <v>40704183.94</v>
      </c>
      <c r="H301" s="58">
        <f>SUM(F301:G301)</f>
        <v>196916423.23</v>
      </c>
    </row>
    <row r="302" spans="1:8" ht="47.25">
      <c r="A302" s="65" t="s">
        <v>333</v>
      </c>
      <c r="B302" s="62" t="s">
        <v>104</v>
      </c>
      <c r="C302" s="62" t="s">
        <v>342</v>
      </c>
      <c r="D302" s="63" t="s">
        <v>334</v>
      </c>
      <c r="E302" s="63"/>
      <c r="F302" s="66">
        <f>SUM(F309,F306,F303)</f>
        <v>7438783.92</v>
      </c>
      <c r="G302" s="66">
        <f>SUM(G309,G306,G303)</f>
        <v>7780356.83</v>
      </c>
      <c r="H302" s="64">
        <f>SUM(F302:G302)</f>
        <v>15219140.75</v>
      </c>
    </row>
    <row r="303" spans="1:8" ht="15.75">
      <c r="A303" s="65" t="s">
        <v>343</v>
      </c>
      <c r="B303" s="62" t="s">
        <v>104</v>
      </c>
      <c r="C303" s="62" t="s">
        <v>342</v>
      </c>
      <c r="D303" s="63" t="s">
        <v>344</v>
      </c>
      <c r="E303" s="63"/>
      <c r="F303" s="66">
        <f>F304</f>
        <v>0</v>
      </c>
      <c r="G303" s="66">
        <f>G304</f>
        <v>7780356.83</v>
      </c>
      <c r="H303" s="64">
        <f>SUM(F303:G303)</f>
        <v>7780356.83</v>
      </c>
    </row>
    <row r="304" spans="1:8" ht="15.75">
      <c r="A304" s="68" t="s">
        <v>129</v>
      </c>
      <c r="B304" s="62" t="s">
        <v>104</v>
      </c>
      <c r="C304" s="62" t="s">
        <v>342</v>
      </c>
      <c r="D304" s="63" t="s">
        <v>344</v>
      </c>
      <c r="E304" s="63">
        <v>800</v>
      </c>
      <c r="F304" s="66">
        <f>F305</f>
        <v>0</v>
      </c>
      <c r="G304" s="66">
        <f>G305</f>
        <v>7780356.83</v>
      </c>
      <c r="H304" s="64">
        <f>SUM(F304:G304)</f>
        <v>7780356.83</v>
      </c>
    </row>
    <row r="305" spans="1:8" ht="47.25">
      <c r="A305" s="65" t="s">
        <v>243</v>
      </c>
      <c r="B305" s="62" t="s">
        <v>104</v>
      </c>
      <c r="C305" s="62" t="s">
        <v>342</v>
      </c>
      <c r="D305" s="63" t="s">
        <v>344</v>
      </c>
      <c r="E305" s="63">
        <v>810</v>
      </c>
      <c r="F305" s="66">
        <v>0</v>
      </c>
      <c r="G305" s="66">
        <v>7780356.83</v>
      </c>
      <c r="H305" s="64">
        <f>SUM(F305:G305)</f>
        <v>7780356.83</v>
      </c>
    </row>
    <row r="306" spans="1:8" ht="78.75">
      <c r="A306" s="65" t="s">
        <v>345</v>
      </c>
      <c r="B306" s="62" t="s">
        <v>104</v>
      </c>
      <c r="C306" s="62" t="s">
        <v>342</v>
      </c>
      <c r="D306" s="63" t="s">
        <v>346</v>
      </c>
      <c r="E306" s="63"/>
      <c r="F306" s="66">
        <f>F307</f>
        <v>5438783.92</v>
      </c>
      <c r="G306" s="66">
        <f>G307</f>
        <v>0</v>
      </c>
      <c r="H306" s="64">
        <f>SUM(F306:G306)</f>
        <v>5438783.92</v>
      </c>
    </row>
    <row r="307" spans="1:8" ht="31.5">
      <c r="A307" s="68" t="s">
        <v>121</v>
      </c>
      <c r="B307" s="62" t="s">
        <v>104</v>
      </c>
      <c r="C307" s="62" t="s">
        <v>342</v>
      </c>
      <c r="D307" s="63" t="s">
        <v>346</v>
      </c>
      <c r="E307" s="63">
        <v>200</v>
      </c>
      <c r="F307" s="66">
        <f>F308</f>
        <v>5438783.92</v>
      </c>
      <c r="G307" s="66">
        <f>G308</f>
        <v>0</v>
      </c>
      <c r="H307" s="64">
        <f>SUM(F307:G307)</f>
        <v>5438783.92</v>
      </c>
    </row>
    <row r="308" spans="1:8" ht="31.5">
      <c r="A308" s="68" t="s">
        <v>123</v>
      </c>
      <c r="B308" s="62" t="s">
        <v>104</v>
      </c>
      <c r="C308" s="62" t="s">
        <v>342</v>
      </c>
      <c r="D308" s="63" t="s">
        <v>346</v>
      </c>
      <c r="E308" s="63">
        <v>240</v>
      </c>
      <c r="F308" s="66">
        <f>1350+5437433.92</f>
        <v>5438783.92</v>
      </c>
      <c r="G308" s="66">
        <v>0</v>
      </c>
      <c r="H308" s="64">
        <f>SUM(F308:G308)</f>
        <v>5438783.92</v>
      </c>
    </row>
    <row r="309" spans="1:8" ht="15.75">
      <c r="A309" s="65" t="s">
        <v>347</v>
      </c>
      <c r="B309" s="62" t="s">
        <v>104</v>
      </c>
      <c r="C309" s="62" t="s">
        <v>342</v>
      </c>
      <c r="D309" s="63" t="s">
        <v>348</v>
      </c>
      <c r="E309" s="63"/>
      <c r="F309" s="66">
        <f>F310</f>
        <v>2000000</v>
      </c>
      <c r="G309" s="66">
        <f>G310</f>
        <v>0</v>
      </c>
      <c r="H309" s="64">
        <f>SUM(F309:G309)</f>
        <v>2000000</v>
      </c>
    </row>
    <row r="310" spans="1:8" ht="31.5">
      <c r="A310" s="65" t="s">
        <v>270</v>
      </c>
      <c r="B310" s="62" t="s">
        <v>104</v>
      </c>
      <c r="C310" s="62" t="s">
        <v>342</v>
      </c>
      <c r="D310" s="63" t="s">
        <v>348</v>
      </c>
      <c r="E310" s="63">
        <v>400</v>
      </c>
      <c r="F310" s="66">
        <f>F311</f>
        <v>2000000</v>
      </c>
      <c r="G310" s="66">
        <f>G311</f>
        <v>0</v>
      </c>
      <c r="H310" s="64">
        <f>SUM(F310:G310)</f>
        <v>2000000</v>
      </c>
    </row>
    <row r="311" spans="1:8" ht="110.25">
      <c r="A311" s="65" t="s">
        <v>349</v>
      </c>
      <c r="B311" s="62" t="s">
        <v>104</v>
      </c>
      <c r="C311" s="62" t="s">
        <v>342</v>
      </c>
      <c r="D311" s="63" t="s">
        <v>348</v>
      </c>
      <c r="E311" s="63">
        <v>460</v>
      </c>
      <c r="F311" s="66">
        <v>2000000</v>
      </c>
      <c r="G311" s="66">
        <v>0</v>
      </c>
      <c r="H311" s="64">
        <f>SUM(F311:G311)</f>
        <v>2000000</v>
      </c>
    </row>
    <row r="312" spans="1:8" ht="31.5">
      <c r="A312" s="65" t="s">
        <v>350</v>
      </c>
      <c r="B312" s="61" t="s">
        <v>104</v>
      </c>
      <c r="C312" s="62" t="s">
        <v>342</v>
      </c>
      <c r="D312" s="63" t="s">
        <v>164</v>
      </c>
      <c r="E312" s="63"/>
      <c r="F312" s="66">
        <f>SUM(F313,F320,F338,F342,F317,F323,F329,F332,F326,F335)</f>
        <v>128773455.37</v>
      </c>
      <c r="G312" s="66">
        <f>SUM(G313,G320,G338,G342,G317,G323,G329,G332,G326,G335)</f>
        <v>27923827.11</v>
      </c>
      <c r="H312" s="64">
        <f>SUM(F312:G312)</f>
        <v>156697282.48000002</v>
      </c>
    </row>
    <row r="313" spans="1:8" ht="47.25">
      <c r="A313" s="65" t="s">
        <v>351</v>
      </c>
      <c r="B313" s="61" t="s">
        <v>104</v>
      </c>
      <c r="C313" s="62" t="s">
        <v>342</v>
      </c>
      <c r="D313" s="63" t="s">
        <v>352</v>
      </c>
      <c r="E313" s="63"/>
      <c r="F313" s="66">
        <f>F314</f>
        <v>4492524.29</v>
      </c>
      <c r="G313" s="66">
        <f>G314</f>
        <v>0</v>
      </c>
      <c r="H313" s="64">
        <f>SUM(F313:G313)</f>
        <v>4492524.29</v>
      </c>
    </row>
    <row r="314" spans="1:8" ht="31.5">
      <c r="A314" s="65" t="s">
        <v>270</v>
      </c>
      <c r="B314" s="61" t="s">
        <v>104</v>
      </c>
      <c r="C314" s="62" t="s">
        <v>342</v>
      </c>
      <c r="D314" s="63" t="s">
        <v>352</v>
      </c>
      <c r="E314" s="63">
        <v>400</v>
      </c>
      <c r="F314" s="66">
        <f>F315+F316</f>
        <v>4492524.29</v>
      </c>
      <c r="G314" s="66">
        <f>G315+G316</f>
        <v>0</v>
      </c>
      <c r="H314" s="64">
        <f>SUM(F314:G314)</f>
        <v>4492524.29</v>
      </c>
    </row>
    <row r="315" spans="1:8" ht="15.75">
      <c r="A315" s="65" t="s">
        <v>271</v>
      </c>
      <c r="B315" s="61" t="s">
        <v>104</v>
      </c>
      <c r="C315" s="62" t="s">
        <v>342</v>
      </c>
      <c r="D315" s="63" t="s">
        <v>352</v>
      </c>
      <c r="E315" s="63">
        <v>410</v>
      </c>
      <c r="F315" s="66">
        <v>4492524.29</v>
      </c>
      <c r="G315" s="66">
        <v>-424682.87</v>
      </c>
      <c r="H315" s="64">
        <f>SUM(F315:G315)</f>
        <v>4067841.42</v>
      </c>
    </row>
    <row r="316" spans="1:8" ht="110.25">
      <c r="A316" s="65" t="s">
        <v>349</v>
      </c>
      <c r="B316" s="61" t="s">
        <v>104</v>
      </c>
      <c r="C316" s="62" t="s">
        <v>342</v>
      </c>
      <c r="D316" s="63" t="s">
        <v>352</v>
      </c>
      <c r="E316" s="98">
        <v>460</v>
      </c>
      <c r="F316" s="66">
        <v>0</v>
      </c>
      <c r="G316" s="66">
        <v>424682.87</v>
      </c>
      <c r="H316" s="64">
        <f>SUM(F316:G316)</f>
        <v>424682.87</v>
      </c>
    </row>
    <row r="317" spans="1:8" ht="31.5">
      <c r="A317" s="65" t="s">
        <v>353</v>
      </c>
      <c r="B317" s="61" t="s">
        <v>104</v>
      </c>
      <c r="C317" s="62" t="s">
        <v>342</v>
      </c>
      <c r="D317" s="63" t="s">
        <v>354</v>
      </c>
      <c r="E317" s="98"/>
      <c r="F317" s="66">
        <f>F318</f>
        <v>6000000</v>
      </c>
      <c r="G317" s="66">
        <f>G318</f>
        <v>-4087128</v>
      </c>
      <c r="H317" s="64">
        <f>SUM(F317:G317)</f>
        <v>1912872</v>
      </c>
    </row>
    <row r="318" spans="1:8" ht="31.5">
      <c r="A318" s="65" t="s">
        <v>270</v>
      </c>
      <c r="B318" s="61" t="s">
        <v>104</v>
      </c>
      <c r="C318" s="62" t="s">
        <v>342</v>
      </c>
      <c r="D318" s="63" t="s">
        <v>354</v>
      </c>
      <c r="E318" s="98">
        <v>400</v>
      </c>
      <c r="F318" s="66">
        <f>F319</f>
        <v>6000000</v>
      </c>
      <c r="G318" s="66">
        <f>G319</f>
        <v>-4087128</v>
      </c>
      <c r="H318" s="64">
        <f>SUM(F318:G318)</f>
        <v>1912872</v>
      </c>
    </row>
    <row r="319" spans="1:8" ht="15.75">
      <c r="A319" s="65" t="s">
        <v>271</v>
      </c>
      <c r="B319" s="61" t="s">
        <v>104</v>
      </c>
      <c r="C319" s="62" t="s">
        <v>342</v>
      </c>
      <c r="D319" s="63" t="s">
        <v>354</v>
      </c>
      <c r="E319" s="98">
        <v>410</v>
      </c>
      <c r="F319" s="66">
        <v>6000000</v>
      </c>
      <c r="G319" s="66">
        <f>-2087128-2000000</f>
        <v>-4087128</v>
      </c>
      <c r="H319" s="64">
        <f>SUM(F319:G319)</f>
        <v>1912872</v>
      </c>
    </row>
    <row r="320" spans="1:8" ht="31.5">
      <c r="A320" s="65" t="s">
        <v>355</v>
      </c>
      <c r="B320" s="61" t="s">
        <v>104</v>
      </c>
      <c r="C320" s="62" t="s">
        <v>342</v>
      </c>
      <c r="D320" s="63" t="s">
        <v>356</v>
      </c>
      <c r="E320" s="98"/>
      <c r="F320" s="66">
        <f>F321</f>
        <v>218525.05</v>
      </c>
      <c r="G320" s="66">
        <f>G321</f>
        <v>0</v>
      </c>
      <c r="H320" s="64">
        <f>SUM(F320:G320)</f>
        <v>218525.05</v>
      </c>
    </row>
    <row r="321" spans="1:8" ht="31.5">
      <c r="A321" s="65" t="s">
        <v>270</v>
      </c>
      <c r="B321" s="61" t="s">
        <v>104</v>
      </c>
      <c r="C321" s="62" t="s">
        <v>342</v>
      </c>
      <c r="D321" s="63" t="s">
        <v>356</v>
      </c>
      <c r="E321" s="98">
        <v>400</v>
      </c>
      <c r="F321" s="66">
        <f>F322</f>
        <v>218525.05</v>
      </c>
      <c r="G321" s="66">
        <f>G322</f>
        <v>0</v>
      </c>
      <c r="H321" s="64">
        <f>SUM(F321:G321)</f>
        <v>218525.05</v>
      </c>
    </row>
    <row r="322" spans="1:8" ht="15.75">
      <c r="A322" s="65" t="s">
        <v>271</v>
      </c>
      <c r="B322" s="61" t="s">
        <v>104</v>
      </c>
      <c r="C322" s="62" t="s">
        <v>342</v>
      </c>
      <c r="D322" s="63" t="s">
        <v>356</v>
      </c>
      <c r="E322" s="98">
        <v>410</v>
      </c>
      <c r="F322" s="66">
        <v>218525.05</v>
      </c>
      <c r="G322" s="66">
        <v>0</v>
      </c>
      <c r="H322" s="64">
        <f>SUM(F322:G322)</f>
        <v>218525.05</v>
      </c>
    </row>
    <row r="323" spans="1:8" ht="31.5">
      <c r="A323" s="65" t="s">
        <v>357</v>
      </c>
      <c r="B323" s="61" t="s">
        <v>104</v>
      </c>
      <c r="C323" s="62" t="s">
        <v>342</v>
      </c>
      <c r="D323" s="63" t="s">
        <v>358</v>
      </c>
      <c r="E323" s="98"/>
      <c r="F323" s="66">
        <f>F324</f>
        <v>3000000</v>
      </c>
      <c r="G323" s="66">
        <f>G324</f>
        <v>0</v>
      </c>
      <c r="H323" s="64">
        <f>SUM(F323:G323)</f>
        <v>3000000</v>
      </c>
    </row>
    <row r="324" spans="1:8" ht="31.5">
      <c r="A324" s="65" t="s">
        <v>270</v>
      </c>
      <c r="B324" s="61" t="s">
        <v>104</v>
      </c>
      <c r="C324" s="62" t="s">
        <v>342</v>
      </c>
      <c r="D324" s="63" t="s">
        <v>358</v>
      </c>
      <c r="E324" s="98">
        <v>400</v>
      </c>
      <c r="F324" s="66">
        <f>F325</f>
        <v>3000000</v>
      </c>
      <c r="G324" s="66">
        <f>G325</f>
        <v>0</v>
      </c>
      <c r="H324" s="64">
        <f>SUM(F324:G324)</f>
        <v>3000000</v>
      </c>
    </row>
    <row r="325" spans="1:8" ht="15.75">
      <c r="A325" s="65" t="s">
        <v>271</v>
      </c>
      <c r="B325" s="61" t="s">
        <v>104</v>
      </c>
      <c r="C325" s="62" t="s">
        <v>342</v>
      </c>
      <c r="D325" s="63" t="s">
        <v>358</v>
      </c>
      <c r="E325" s="98">
        <v>410</v>
      </c>
      <c r="F325" s="66">
        <v>3000000</v>
      </c>
      <c r="G325" s="66">
        <v>0</v>
      </c>
      <c r="H325" s="64">
        <f>SUM(F325:G325)</f>
        <v>3000000</v>
      </c>
    </row>
    <row r="326" spans="1:8" ht="47.25">
      <c r="A326" s="99" t="s">
        <v>359</v>
      </c>
      <c r="B326" s="100" t="s">
        <v>104</v>
      </c>
      <c r="C326" s="101" t="s">
        <v>342</v>
      </c>
      <c r="D326" s="102" t="s">
        <v>360</v>
      </c>
      <c r="E326" s="103"/>
      <c r="F326" s="79">
        <f>F327</f>
        <v>0</v>
      </c>
      <c r="G326" s="79">
        <f>G327</f>
        <v>14668192.19</v>
      </c>
      <c r="H326" s="80">
        <f>SUM(F326:G326)</f>
        <v>14668192.19</v>
      </c>
    </row>
    <row r="327" spans="1:8" ht="31.5">
      <c r="A327" s="99" t="s">
        <v>270</v>
      </c>
      <c r="B327" s="100" t="s">
        <v>104</v>
      </c>
      <c r="C327" s="101" t="s">
        <v>342</v>
      </c>
      <c r="D327" s="102" t="s">
        <v>360</v>
      </c>
      <c r="E327" s="103">
        <v>400</v>
      </c>
      <c r="F327" s="79">
        <f>F328</f>
        <v>0</v>
      </c>
      <c r="G327" s="79">
        <f>G328</f>
        <v>14668192.19</v>
      </c>
      <c r="H327" s="80">
        <f>SUM(F327:G327)</f>
        <v>14668192.19</v>
      </c>
    </row>
    <row r="328" spans="1:8" ht="110.25">
      <c r="A328" s="65" t="s">
        <v>349</v>
      </c>
      <c r="B328" s="100" t="s">
        <v>104</v>
      </c>
      <c r="C328" s="101" t="s">
        <v>342</v>
      </c>
      <c r="D328" s="102" t="s">
        <v>360</v>
      </c>
      <c r="E328" s="103">
        <v>460</v>
      </c>
      <c r="F328" s="79"/>
      <c r="G328" s="81">
        <v>14668192.19</v>
      </c>
      <c r="H328" s="80">
        <f>SUM(F328:G328)</f>
        <v>14668192.19</v>
      </c>
    </row>
    <row r="329" spans="1:8" ht="31.5">
      <c r="A329" s="65" t="s">
        <v>361</v>
      </c>
      <c r="B329" s="61" t="s">
        <v>104</v>
      </c>
      <c r="C329" s="62" t="s">
        <v>342</v>
      </c>
      <c r="D329" s="63" t="s">
        <v>362</v>
      </c>
      <c r="E329" s="98"/>
      <c r="F329" s="66">
        <f>F330</f>
        <v>1000000</v>
      </c>
      <c r="G329" s="66">
        <f>G330</f>
        <v>0</v>
      </c>
      <c r="H329" s="64">
        <f>SUM(F329:G329)</f>
        <v>1000000</v>
      </c>
    </row>
    <row r="330" spans="1:8" ht="31.5">
      <c r="A330" s="65" t="s">
        <v>270</v>
      </c>
      <c r="B330" s="61" t="s">
        <v>104</v>
      </c>
      <c r="C330" s="62" t="s">
        <v>342</v>
      </c>
      <c r="D330" s="63" t="s">
        <v>362</v>
      </c>
      <c r="E330" s="98">
        <v>400</v>
      </c>
      <c r="F330" s="66">
        <f>F331</f>
        <v>1000000</v>
      </c>
      <c r="G330" s="66">
        <f>G331</f>
        <v>0</v>
      </c>
      <c r="H330" s="64">
        <f>SUM(F330:G330)</f>
        <v>1000000</v>
      </c>
    </row>
    <row r="331" spans="1:8" ht="15.75">
      <c r="A331" s="65" t="s">
        <v>271</v>
      </c>
      <c r="B331" s="61" t="s">
        <v>104</v>
      </c>
      <c r="C331" s="62" t="s">
        <v>342</v>
      </c>
      <c r="D331" s="63" t="s">
        <v>362</v>
      </c>
      <c r="E331" s="98">
        <v>410</v>
      </c>
      <c r="F331" s="66">
        <v>1000000</v>
      </c>
      <c r="G331" s="66">
        <v>0</v>
      </c>
      <c r="H331" s="64">
        <f>SUM(F331:G331)</f>
        <v>1000000</v>
      </c>
    </row>
    <row r="332" spans="1:8" ht="121.5" customHeight="1">
      <c r="A332" s="65" t="s">
        <v>363</v>
      </c>
      <c r="B332" s="61" t="s">
        <v>104</v>
      </c>
      <c r="C332" s="62" t="s">
        <v>342</v>
      </c>
      <c r="D332" s="63" t="s">
        <v>364</v>
      </c>
      <c r="E332" s="98"/>
      <c r="F332" s="66">
        <f>F333</f>
        <v>5010000</v>
      </c>
      <c r="G332" s="66">
        <f>G333</f>
        <v>0</v>
      </c>
      <c r="H332" s="64">
        <f>SUM(F332:G332)</f>
        <v>5010000</v>
      </c>
    </row>
    <row r="333" spans="1:8" ht="31.5">
      <c r="A333" s="65" t="s">
        <v>270</v>
      </c>
      <c r="B333" s="61" t="s">
        <v>104</v>
      </c>
      <c r="C333" s="62" t="s">
        <v>342</v>
      </c>
      <c r="D333" s="63" t="s">
        <v>364</v>
      </c>
      <c r="E333" s="98">
        <v>400</v>
      </c>
      <c r="F333" s="66">
        <f>F334</f>
        <v>5010000</v>
      </c>
      <c r="G333" s="66">
        <f>G334</f>
        <v>0</v>
      </c>
      <c r="H333" s="64">
        <f>SUM(F333:G333)</f>
        <v>5010000</v>
      </c>
    </row>
    <row r="334" spans="1:8" ht="15.75">
      <c r="A334" s="65" t="s">
        <v>271</v>
      </c>
      <c r="B334" s="61" t="s">
        <v>104</v>
      </c>
      <c r="C334" s="62" t="s">
        <v>342</v>
      </c>
      <c r="D334" s="63" t="s">
        <v>364</v>
      </c>
      <c r="E334" s="98">
        <v>410</v>
      </c>
      <c r="F334" s="66">
        <f>10000+5000000</f>
        <v>5010000</v>
      </c>
      <c r="G334" s="66">
        <v>0</v>
      </c>
      <c r="H334" s="64">
        <f>SUM(F334:G334)</f>
        <v>5010000</v>
      </c>
    </row>
    <row r="335" spans="1:8" ht="31.5">
      <c r="A335" s="65" t="s">
        <v>365</v>
      </c>
      <c r="B335" s="61" t="s">
        <v>104</v>
      </c>
      <c r="C335" s="62" t="s">
        <v>342</v>
      </c>
      <c r="D335" s="63" t="s">
        <v>366</v>
      </c>
      <c r="E335" s="98"/>
      <c r="F335" s="66">
        <f>F336</f>
        <v>0</v>
      </c>
      <c r="G335" s="66">
        <f>G336</f>
        <v>16876666.67</v>
      </c>
      <c r="H335" s="64">
        <f>SUM(F335:G335)</f>
        <v>16876666.67</v>
      </c>
    </row>
    <row r="336" spans="1:8" ht="31.5">
      <c r="A336" s="65" t="s">
        <v>270</v>
      </c>
      <c r="B336" s="61" t="s">
        <v>104</v>
      </c>
      <c r="C336" s="62" t="s">
        <v>342</v>
      </c>
      <c r="D336" s="63" t="s">
        <v>366</v>
      </c>
      <c r="E336" s="98">
        <v>400</v>
      </c>
      <c r="F336" s="66">
        <f>F337</f>
        <v>0</v>
      </c>
      <c r="G336" s="66">
        <f>G337</f>
        <v>16876666.67</v>
      </c>
      <c r="H336" s="64">
        <f>SUM(F336:G336)</f>
        <v>16876666.67</v>
      </c>
    </row>
    <row r="337" spans="1:8" ht="110.25">
      <c r="A337" s="65" t="s">
        <v>349</v>
      </c>
      <c r="B337" s="61" t="s">
        <v>104</v>
      </c>
      <c r="C337" s="62" t="s">
        <v>342</v>
      </c>
      <c r="D337" s="63" t="s">
        <v>366</v>
      </c>
      <c r="E337" s="98">
        <v>460</v>
      </c>
      <c r="F337" s="66"/>
      <c r="G337" s="66">
        <v>16876666.67</v>
      </c>
      <c r="H337" s="64">
        <f>SUM(F337:G337)</f>
        <v>16876666.67</v>
      </c>
    </row>
    <row r="338" spans="1:8" ht="63">
      <c r="A338" s="65" t="s">
        <v>367</v>
      </c>
      <c r="B338" s="61" t="s">
        <v>104</v>
      </c>
      <c r="C338" s="62" t="s">
        <v>342</v>
      </c>
      <c r="D338" s="63" t="s">
        <v>368</v>
      </c>
      <c r="E338" s="63"/>
      <c r="F338" s="66">
        <f>F339</f>
        <v>46191370.71</v>
      </c>
      <c r="G338" s="66">
        <f>G339</f>
        <v>466096.25</v>
      </c>
      <c r="H338" s="64">
        <f>SUM(F338:G338)</f>
        <v>46657466.96</v>
      </c>
    </row>
    <row r="339" spans="1:8" ht="31.5">
      <c r="A339" s="65" t="s">
        <v>270</v>
      </c>
      <c r="B339" s="61" t="s">
        <v>104</v>
      </c>
      <c r="C339" s="62" t="s">
        <v>342</v>
      </c>
      <c r="D339" s="63" t="s">
        <v>368</v>
      </c>
      <c r="E339" s="63">
        <v>400</v>
      </c>
      <c r="F339" s="66">
        <f>F340+F341</f>
        <v>46191370.71</v>
      </c>
      <c r="G339" s="66">
        <f>G340+G341</f>
        <v>466096.25</v>
      </c>
      <c r="H339" s="64">
        <f>SUM(F339:G339)</f>
        <v>46657466.96</v>
      </c>
    </row>
    <row r="340" spans="1:8" ht="15.75">
      <c r="A340" s="65" t="s">
        <v>271</v>
      </c>
      <c r="B340" s="61" t="s">
        <v>104</v>
      </c>
      <c r="C340" s="62" t="s">
        <v>342</v>
      </c>
      <c r="D340" s="63" t="s">
        <v>368</v>
      </c>
      <c r="E340" s="63">
        <v>410</v>
      </c>
      <c r="F340" s="66">
        <v>46191370.71</v>
      </c>
      <c r="G340" s="66">
        <f>461435.29+4660.96-46657466.96</f>
        <v>-46191370.71</v>
      </c>
      <c r="H340" s="64">
        <f>SUM(F340:G340)</f>
        <v>0</v>
      </c>
    </row>
    <row r="341" spans="1:8" ht="110.25">
      <c r="A341" s="65" t="s">
        <v>349</v>
      </c>
      <c r="B341" s="61" t="s">
        <v>104</v>
      </c>
      <c r="C341" s="62" t="s">
        <v>342</v>
      </c>
      <c r="D341" s="63" t="s">
        <v>368</v>
      </c>
      <c r="E341" s="63">
        <v>460</v>
      </c>
      <c r="F341" s="66">
        <v>0</v>
      </c>
      <c r="G341" s="66">
        <v>46657466.96</v>
      </c>
      <c r="H341" s="64">
        <f>SUM(F341:G341)</f>
        <v>46657466.96</v>
      </c>
    </row>
    <row r="342" spans="1:8" ht="78.75">
      <c r="A342" s="65" t="s">
        <v>369</v>
      </c>
      <c r="B342" s="61" t="s">
        <v>104</v>
      </c>
      <c r="C342" s="62" t="s">
        <v>342</v>
      </c>
      <c r="D342" s="63" t="s">
        <v>370</v>
      </c>
      <c r="E342" s="63"/>
      <c r="F342" s="66">
        <f>F343</f>
        <v>62861035.32</v>
      </c>
      <c r="G342" s="66">
        <f>G343</f>
        <v>0</v>
      </c>
      <c r="H342" s="64">
        <f>SUM(F342:G342)</f>
        <v>62861035.32</v>
      </c>
    </row>
    <row r="343" spans="1:8" ht="31.5">
      <c r="A343" s="65" t="s">
        <v>270</v>
      </c>
      <c r="B343" s="61" t="s">
        <v>104</v>
      </c>
      <c r="C343" s="62" t="s">
        <v>342</v>
      </c>
      <c r="D343" s="63" t="s">
        <v>370</v>
      </c>
      <c r="E343" s="63">
        <v>400</v>
      </c>
      <c r="F343" s="66">
        <f>F344</f>
        <v>62861035.32</v>
      </c>
      <c r="G343" s="66">
        <f>G344</f>
        <v>0</v>
      </c>
      <c r="H343" s="64">
        <f>SUM(F343:G343)</f>
        <v>62861035.32</v>
      </c>
    </row>
    <row r="344" spans="1:8" ht="15.75">
      <c r="A344" s="65" t="s">
        <v>271</v>
      </c>
      <c r="B344" s="61" t="s">
        <v>104</v>
      </c>
      <c r="C344" s="62" t="s">
        <v>342</v>
      </c>
      <c r="D344" s="63" t="s">
        <v>370</v>
      </c>
      <c r="E344" s="63">
        <v>410</v>
      </c>
      <c r="F344" s="66">
        <v>62861035.32</v>
      </c>
      <c r="G344" s="66">
        <v>0</v>
      </c>
      <c r="H344" s="64">
        <f>SUM(F344:G344)</f>
        <v>62861035.32</v>
      </c>
    </row>
    <row r="345" spans="1:8" ht="15.75">
      <c r="A345" s="60" t="s">
        <v>109</v>
      </c>
      <c r="B345" s="62" t="s">
        <v>104</v>
      </c>
      <c r="C345" s="62" t="s">
        <v>342</v>
      </c>
      <c r="D345" s="63" t="s">
        <v>110</v>
      </c>
      <c r="E345" s="82"/>
      <c r="F345" s="66">
        <f>F346</f>
        <v>20000000</v>
      </c>
      <c r="G345" s="66">
        <f>G346</f>
        <v>5000000</v>
      </c>
      <c r="H345" s="64">
        <f>SUM(F345:G345)</f>
        <v>25000000</v>
      </c>
    </row>
    <row r="346" spans="1:8" ht="31.5">
      <c r="A346" s="65" t="s">
        <v>142</v>
      </c>
      <c r="B346" s="62" t="s">
        <v>104</v>
      </c>
      <c r="C346" s="62" t="s">
        <v>342</v>
      </c>
      <c r="D346" s="63" t="s">
        <v>143</v>
      </c>
      <c r="E346" s="63"/>
      <c r="F346" s="66">
        <f>SUM(F347,F350)</f>
        <v>20000000</v>
      </c>
      <c r="G346" s="66">
        <f>SUM(G347,G350)</f>
        <v>5000000</v>
      </c>
      <c r="H346" s="64">
        <f>SUM(F346:G346)</f>
        <v>25000000</v>
      </c>
    </row>
    <row r="347" spans="1:8" ht="63">
      <c r="A347" s="65" t="s">
        <v>371</v>
      </c>
      <c r="B347" s="62" t="s">
        <v>104</v>
      </c>
      <c r="C347" s="62" t="s">
        <v>342</v>
      </c>
      <c r="D347" s="63" t="s">
        <v>372</v>
      </c>
      <c r="E347" s="63"/>
      <c r="F347" s="69">
        <f>F348</f>
        <v>20000000</v>
      </c>
      <c r="G347" s="69">
        <f>G348</f>
        <v>0</v>
      </c>
      <c r="H347" s="64">
        <f>SUM(F347:G347)</f>
        <v>20000000</v>
      </c>
    </row>
    <row r="348" spans="1:8" ht="15.75">
      <c r="A348" s="65" t="s">
        <v>129</v>
      </c>
      <c r="B348" s="62" t="s">
        <v>104</v>
      </c>
      <c r="C348" s="62" t="s">
        <v>342</v>
      </c>
      <c r="D348" s="63" t="s">
        <v>372</v>
      </c>
      <c r="E348" s="63">
        <v>800</v>
      </c>
      <c r="F348" s="69">
        <f>F349</f>
        <v>20000000</v>
      </c>
      <c r="G348" s="69">
        <f>G349</f>
        <v>0</v>
      </c>
      <c r="H348" s="64">
        <f>SUM(F348:G348)</f>
        <v>20000000</v>
      </c>
    </row>
    <row r="349" spans="1:8" ht="47.25">
      <c r="A349" s="65" t="s">
        <v>243</v>
      </c>
      <c r="B349" s="62" t="s">
        <v>104</v>
      </c>
      <c r="C349" s="62" t="s">
        <v>342</v>
      </c>
      <c r="D349" s="63" t="s">
        <v>372</v>
      </c>
      <c r="E349" s="63">
        <v>810</v>
      </c>
      <c r="F349" s="69">
        <v>20000000</v>
      </c>
      <c r="G349" s="69">
        <v>0</v>
      </c>
      <c r="H349" s="64">
        <f>SUM(F349:G349)</f>
        <v>20000000</v>
      </c>
    </row>
    <row r="350" spans="1:8" ht="47.25">
      <c r="A350" s="99" t="s">
        <v>373</v>
      </c>
      <c r="B350" s="62" t="s">
        <v>104</v>
      </c>
      <c r="C350" s="62" t="s">
        <v>342</v>
      </c>
      <c r="D350" s="102" t="s">
        <v>374</v>
      </c>
      <c r="E350" s="102"/>
      <c r="F350" s="81">
        <f>F351</f>
        <v>0</v>
      </c>
      <c r="G350" s="81">
        <f>G351</f>
        <v>5000000</v>
      </c>
      <c r="H350" s="80">
        <f>SUM(F350:G350)</f>
        <v>5000000</v>
      </c>
    </row>
    <row r="351" spans="1:8" ht="15.75">
      <c r="A351" s="65" t="s">
        <v>129</v>
      </c>
      <c r="B351" s="62" t="s">
        <v>104</v>
      </c>
      <c r="C351" s="62" t="s">
        <v>342</v>
      </c>
      <c r="D351" s="102" t="s">
        <v>374</v>
      </c>
      <c r="E351" s="102">
        <v>800</v>
      </c>
      <c r="F351" s="79">
        <f>F352</f>
        <v>0</v>
      </c>
      <c r="G351" s="81">
        <f>G352</f>
        <v>5000000</v>
      </c>
      <c r="H351" s="80">
        <f>SUM(F351:G351)</f>
        <v>5000000</v>
      </c>
    </row>
    <row r="352" spans="1:8" ht="47.25">
      <c r="A352" s="65" t="s">
        <v>243</v>
      </c>
      <c r="B352" s="62" t="s">
        <v>104</v>
      </c>
      <c r="C352" s="62" t="s">
        <v>342</v>
      </c>
      <c r="D352" s="102" t="s">
        <v>374</v>
      </c>
      <c r="E352" s="102">
        <v>810</v>
      </c>
      <c r="F352" s="79">
        <v>0</v>
      </c>
      <c r="G352" s="81">
        <v>5000000</v>
      </c>
      <c r="H352" s="80">
        <f>SUM(F352:G352)</f>
        <v>5000000</v>
      </c>
    </row>
    <row r="353" spans="1:8" s="33" customFormat="1" ht="15.75">
      <c r="A353" s="55" t="s">
        <v>375</v>
      </c>
      <c r="B353" s="56" t="s">
        <v>104</v>
      </c>
      <c r="C353" s="57" t="s">
        <v>376</v>
      </c>
      <c r="D353" s="82"/>
      <c r="E353" s="82"/>
      <c r="F353" s="72">
        <f>SUM(F354,F388,F404)</f>
        <v>191391969.23</v>
      </c>
      <c r="G353" s="72">
        <f>SUM(G354,G388,G404)</f>
        <v>52899794.690000005</v>
      </c>
      <c r="H353" s="58">
        <f>SUM(F353:G353)</f>
        <v>244291763.92</v>
      </c>
    </row>
    <row r="354" spans="1:8" s="33" customFormat="1" ht="31.5">
      <c r="A354" s="65" t="s">
        <v>154</v>
      </c>
      <c r="B354" s="61" t="s">
        <v>104</v>
      </c>
      <c r="C354" s="62" t="s">
        <v>376</v>
      </c>
      <c r="D354" s="63" t="s">
        <v>155</v>
      </c>
      <c r="E354" s="63"/>
      <c r="F354" s="66">
        <f>SUM(F355,F368,F375,F384)</f>
        <v>157518198.28</v>
      </c>
      <c r="G354" s="66">
        <f>SUM(G355,G368,G375,G384)</f>
        <v>44868040</v>
      </c>
      <c r="H354" s="64">
        <f>SUM(F354:G354)</f>
        <v>202386238.28</v>
      </c>
    </row>
    <row r="355" spans="1:8" s="33" customFormat="1" ht="31.5">
      <c r="A355" s="65" t="s">
        <v>377</v>
      </c>
      <c r="B355" s="61" t="s">
        <v>104</v>
      </c>
      <c r="C355" s="62" t="s">
        <v>376</v>
      </c>
      <c r="D355" s="63" t="s">
        <v>378</v>
      </c>
      <c r="E355" s="63"/>
      <c r="F355" s="66">
        <f>SUM(F356,F359,F362,F365)</f>
        <v>77518198.28</v>
      </c>
      <c r="G355" s="66">
        <f>SUM(G356,G359,G362,G365)</f>
        <v>0</v>
      </c>
      <c r="H355" s="64">
        <f>SUM(F355:G355)</f>
        <v>77518198.28</v>
      </c>
    </row>
    <row r="356" spans="1:8" s="33" customFormat="1" ht="31.5">
      <c r="A356" s="65" t="s">
        <v>379</v>
      </c>
      <c r="B356" s="61" t="s">
        <v>104</v>
      </c>
      <c r="C356" s="62" t="s">
        <v>376</v>
      </c>
      <c r="D356" s="63" t="s">
        <v>380</v>
      </c>
      <c r="E356" s="63"/>
      <c r="F356" s="66">
        <f>SUM(F357)</f>
        <v>34744198.28</v>
      </c>
      <c r="G356" s="66">
        <f>SUM(G357)</f>
        <v>0</v>
      </c>
      <c r="H356" s="64">
        <f>SUM(F356:G356)</f>
        <v>34744198.28</v>
      </c>
    </row>
    <row r="357" spans="1:8" s="33" customFormat="1" ht="15.75">
      <c r="A357" s="68" t="s">
        <v>129</v>
      </c>
      <c r="B357" s="61" t="s">
        <v>104</v>
      </c>
      <c r="C357" s="62" t="s">
        <v>376</v>
      </c>
      <c r="D357" s="63" t="s">
        <v>380</v>
      </c>
      <c r="E357" s="63">
        <v>800</v>
      </c>
      <c r="F357" s="66">
        <f>F358</f>
        <v>34744198.28</v>
      </c>
      <c r="G357" s="66">
        <f>G358</f>
        <v>0</v>
      </c>
      <c r="H357" s="64">
        <f>SUM(F357:G357)</f>
        <v>34744198.28</v>
      </c>
    </row>
    <row r="358" spans="1:9" s="45" customFormat="1" ht="47.25">
      <c r="A358" s="65" t="s">
        <v>243</v>
      </c>
      <c r="B358" s="61" t="s">
        <v>104</v>
      </c>
      <c r="C358" s="62" t="s">
        <v>376</v>
      </c>
      <c r="D358" s="63" t="s">
        <v>380</v>
      </c>
      <c r="E358" s="63">
        <v>810</v>
      </c>
      <c r="F358" s="66">
        <f>35000000-255801.72</f>
        <v>34744198.28</v>
      </c>
      <c r="G358" s="66">
        <v>0</v>
      </c>
      <c r="H358" s="64">
        <f>SUM(F358:G358)</f>
        <v>34744198.28</v>
      </c>
      <c r="I358" s="33"/>
    </row>
    <row r="359" spans="1:9" s="45" customFormat="1" ht="63">
      <c r="A359" s="65" t="s">
        <v>381</v>
      </c>
      <c r="B359" s="61" t="s">
        <v>104</v>
      </c>
      <c r="C359" s="62" t="s">
        <v>376</v>
      </c>
      <c r="D359" s="63" t="s">
        <v>382</v>
      </c>
      <c r="E359" s="63"/>
      <c r="F359" s="66">
        <f>F360</f>
        <v>3774000</v>
      </c>
      <c r="G359" s="66">
        <f>G360</f>
        <v>0</v>
      </c>
      <c r="H359" s="64">
        <f>SUM(F359:G359)</f>
        <v>3774000</v>
      </c>
      <c r="I359" s="33"/>
    </row>
    <row r="360" spans="1:9" s="45" customFormat="1" ht="31.5">
      <c r="A360" s="68" t="s">
        <v>121</v>
      </c>
      <c r="B360" s="61" t="s">
        <v>104</v>
      </c>
      <c r="C360" s="62" t="s">
        <v>376</v>
      </c>
      <c r="D360" s="63" t="s">
        <v>382</v>
      </c>
      <c r="E360" s="63">
        <v>200</v>
      </c>
      <c r="F360" s="66">
        <f>F361</f>
        <v>3774000</v>
      </c>
      <c r="G360" s="66">
        <f>G361</f>
        <v>0</v>
      </c>
      <c r="H360" s="64">
        <f>SUM(F360:G360)</f>
        <v>3774000</v>
      </c>
      <c r="I360" s="33"/>
    </row>
    <row r="361" spans="1:9" s="45" customFormat="1" ht="31.5">
      <c r="A361" s="68" t="s">
        <v>123</v>
      </c>
      <c r="B361" s="61" t="s">
        <v>104</v>
      </c>
      <c r="C361" s="62" t="s">
        <v>376</v>
      </c>
      <c r="D361" s="63" t="s">
        <v>382</v>
      </c>
      <c r="E361" s="63">
        <v>240</v>
      </c>
      <c r="F361" s="66">
        <f>3518198.28+255801.72</f>
        <v>3774000</v>
      </c>
      <c r="G361" s="66">
        <v>0</v>
      </c>
      <c r="H361" s="64">
        <f>SUM(F361:G361)</f>
        <v>3774000</v>
      </c>
      <c r="I361" s="33"/>
    </row>
    <row r="362" spans="1:9" s="45" customFormat="1" ht="47.25">
      <c r="A362" s="65" t="s">
        <v>383</v>
      </c>
      <c r="B362" s="61" t="s">
        <v>104</v>
      </c>
      <c r="C362" s="62" t="s">
        <v>376</v>
      </c>
      <c r="D362" s="63" t="s">
        <v>384</v>
      </c>
      <c r="E362" s="63"/>
      <c r="F362" s="66">
        <f>F363</f>
        <v>30000000</v>
      </c>
      <c r="G362" s="66">
        <f>G363</f>
        <v>0</v>
      </c>
      <c r="H362" s="64">
        <f>SUM(F362:G362)</f>
        <v>30000000</v>
      </c>
      <c r="I362" s="33"/>
    </row>
    <row r="363" spans="1:8" s="33" customFormat="1" ht="15.75">
      <c r="A363" s="68" t="s">
        <v>129</v>
      </c>
      <c r="B363" s="61" t="s">
        <v>104</v>
      </c>
      <c r="C363" s="62" t="s">
        <v>376</v>
      </c>
      <c r="D363" s="63" t="s">
        <v>384</v>
      </c>
      <c r="E363" s="63">
        <v>800</v>
      </c>
      <c r="F363" s="66">
        <f>F364</f>
        <v>30000000</v>
      </c>
      <c r="G363" s="66">
        <f>G364</f>
        <v>0</v>
      </c>
      <c r="H363" s="64">
        <f>SUM(F363:G363)</f>
        <v>30000000</v>
      </c>
    </row>
    <row r="364" spans="1:8" s="33" customFormat="1" ht="47.25">
      <c r="A364" s="65" t="s">
        <v>243</v>
      </c>
      <c r="B364" s="61" t="s">
        <v>104</v>
      </c>
      <c r="C364" s="62" t="s">
        <v>376</v>
      </c>
      <c r="D364" s="63" t="s">
        <v>384</v>
      </c>
      <c r="E364" s="63">
        <v>810</v>
      </c>
      <c r="F364" s="66">
        <v>30000000</v>
      </c>
      <c r="G364" s="66">
        <v>0</v>
      </c>
      <c r="H364" s="64">
        <f>SUM(F364:G364)</f>
        <v>30000000</v>
      </c>
    </row>
    <row r="365" spans="1:8" s="33" customFormat="1" ht="31.5">
      <c r="A365" s="83" t="s">
        <v>385</v>
      </c>
      <c r="B365" s="61" t="s">
        <v>104</v>
      </c>
      <c r="C365" s="62" t="s">
        <v>376</v>
      </c>
      <c r="D365" s="63" t="s">
        <v>386</v>
      </c>
      <c r="E365" s="63"/>
      <c r="F365" s="66">
        <f>F366</f>
        <v>9000000</v>
      </c>
      <c r="G365" s="66">
        <f>G366</f>
        <v>0</v>
      </c>
      <c r="H365" s="64">
        <f>SUM(F365:G365)</f>
        <v>9000000</v>
      </c>
    </row>
    <row r="366" spans="1:8" s="33" customFormat="1" ht="15.75">
      <c r="A366" s="68" t="s">
        <v>129</v>
      </c>
      <c r="B366" s="61" t="s">
        <v>104</v>
      </c>
      <c r="C366" s="62" t="s">
        <v>376</v>
      </c>
      <c r="D366" s="63" t="s">
        <v>386</v>
      </c>
      <c r="E366" s="63">
        <v>800</v>
      </c>
      <c r="F366" s="66">
        <f>F367</f>
        <v>9000000</v>
      </c>
      <c r="G366" s="66">
        <f>G367</f>
        <v>0</v>
      </c>
      <c r="H366" s="64">
        <f>SUM(F366:G366)</f>
        <v>9000000</v>
      </c>
    </row>
    <row r="367" spans="1:8" s="33" customFormat="1" ht="47.25">
      <c r="A367" s="65" t="s">
        <v>243</v>
      </c>
      <c r="B367" s="61" t="s">
        <v>104</v>
      </c>
      <c r="C367" s="62" t="s">
        <v>376</v>
      </c>
      <c r="D367" s="63" t="s">
        <v>386</v>
      </c>
      <c r="E367" s="63">
        <v>810</v>
      </c>
      <c r="F367" s="66">
        <v>9000000</v>
      </c>
      <c r="G367" s="66">
        <v>0</v>
      </c>
      <c r="H367" s="64">
        <f>SUM(F367:G367)</f>
        <v>9000000</v>
      </c>
    </row>
    <row r="368" spans="1:9" s="45" customFormat="1" ht="31.5">
      <c r="A368" s="65" t="s">
        <v>387</v>
      </c>
      <c r="B368" s="61" t="s">
        <v>104</v>
      </c>
      <c r="C368" s="62" t="s">
        <v>376</v>
      </c>
      <c r="D368" s="63" t="s">
        <v>388</v>
      </c>
      <c r="E368" s="63"/>
      <c r="F368" s="66">
        <f>SUM(F369,F372)</f>
        <v>49000000</v>
      </c>
      <c r="G368" s="66">
        <f>SUM(G369,G372)</f>
        <v>0</v>
      </c>
      <c r="H368" s="64">
        <f>SUM(F368:G368)</f>
        <v>49000000</v>
      </c>
      <c r="I368" s="33"/>
    </row>
    <row r="369" spans="1:8" s="33" customFormat="1" ht="31.5">
      <c r="A369" s="65" t="s">
        <v>389</v>
      </c>
      <c r="B369" s="61" t="s">
        <v>104</v>
      </c>
      <c r="C369" s="62" t="s">
        <v>376</v>
      </c>
      <c r="D369" s="63" t="s">
        <v>390</v>
      </c>
      <c r="E369" s="63"/>
      <c r="F369" s="66">
        <f>F370</f>
        <v>45000000</v>
      </c>
      <c r="G369" s="66">
        <f>G370</f>
        <v>0</v>
      </c>
      <c r="H369" s="64">
        <f>SUM(F369:G369)</f>
        <v>45000000</v>
      </c>
    </row>
    <row r="370" spans="1:8" s="33" customFormat="1" ht="15.75">
      <c r="A370" s="68" t="s">
        <v>129</v>
      </c>
      <c r="B370" s="61" t="s">
        <v>104</v>
      </c>
      <c r="C370" s="62" t="s">
        <v>376</v>
      </c>
      <c r="D370" s="63" t="s">
        <v>390</v>
      </c>
      <c r="E370" s="63">
        <v>800</v>
      </c>
      <c r="F370" s="66">
        <f>F371</f>
        <v>45000000</v>
      </c>
      <c r="G370" s="66">
        <f>G371</f>
        <v>0</v>
      </c>
      <c r="H370" s="64">
        <f>SUM(F370:G370)</f>
        <v>45000000</v>
      </c>
    </row>
    <row r="371" spans="1:9" s="45" customFormat="1" ht="47.25">
      <c r="A371" s="65" t="s">
        <v>243</v>
      </c>
      <c r="B371" s="61" t="s">
        <v>104</v>
      </c>
      <c r="C371" s="62" t="s">
        <v>376</v>
      </c>
      <c r="D371" s="63" t="s">
        <v>390</v>
      </c>
      <c r="E371" s="63">
        <v>810</v>
      </c>
      <c r="F371" s="66">
        <v>45000000</v>
      </c>
      <c r="G371" s="66">
        <v>0</v>
      </c>
      <c r="H371" s="64">
        <f>SUM(F371:G371)</f>
        <v>45000000</v>
      </c>
      <c r="I371" s="33"/>
    </row>
    <row r="372" spans="1:8" s="33" customFormat="1" ht="31.5">
      <c r="A372" s="65" t="s">
        <v>391</v>
      </c>
      <c r="B372" s="61" t="s">
        <v>104</v>
      </c>
      <c r="C372" s="62" t="s">
        <v>376</v>
      </c>
      <c r="D372" s="63" t="s">
        <v>392</v>
      </c>
      <c r="E372" s="63"/>
      <c r="F372" s="66">
        <f>F373</f>
        <v>4000000</v>
      </c>
      <c r="G372" s="66">
        <f>G373</f>
        <v>0</v>
      </c>
      <c r="H372" s="64">
        <f>SUM(F372:G372)</f>
        <v>4000000</v>
      </c>
    </row>
    <row r="373" spans="1:9" s="45" customFormat="1" ht="31.5">
      <c r="A373" s="65" t="s">
        <v>270</v>
      </c>
      <c r="B373" s="61" t="s">
        <v>104</v>
      </c>
      <c r="C373" s="62" t="s">
        <v>376</v>
      </c>
      <c r="D373" s="63" t="s">
        <v>392</v>
      </c>
      <c r="E373" s="63">
        <v>400</v>
      </c>
      <c r="F373" s="66">
        <f>F374</f>
        <v>4000000</v>
      </c>
      <c r="G373" s="66">
        <f>G374</f>
        <v>0</v>
      </c>
      <c r="H373" s="64">
        <f>SUM(F373:G373)</f>
        <v>4000000</v>
      </c>
      <c r="I373" s="33"/>
    </row>
    <row r="374" spans="1:8" s="33" customFormat="1" ht="110.25">
      <c r="A374" s="65" t="s">
        <v>349</v>
      </c>
      <c r="B374" s="61" t="s">
        <v>104</v>
      </c>
      <c r="C374" s="62" t="s">
        <v>376</v>
      </c>
      <c r="D374" s="63" t="s">
        <v>392</v>
      </c>
      <c r="E374" s="63">
        <v>460</v>
      </c>
      <c r="F374" s="66">
        <v>4000000</v>
      </c>
      <c r="G374" s="66">
        <v>0</v>
      </c>
      <c r="H374" s="64">
        <f>SUM(F374:G374)</f>
        <v>4000000</v>
      </c>
    </row>
    <row r="375" spans="1:8" s="33" customFormat="1" ht="31.5">
      <c r="A375" s="83" t="s">
        <v>393</v>
      </c>
      <c r="B375" s="61" t="s">
        <v>104</v>
      </c>
      <c r="C375" s="62" t="s">
        <v>376</v>
      </c>
      <c r="D375" s="63" t="s">
        <v>394</v>
      </c>
      <c r="E375" s="63"/>
      <c r="F375" s="66">
        <f>F376+F381</f>
        <v>28500000</v>
      </c>
      <c r="G375" s="66">
        <f>G376+G381</f>
        <v>44868040</v>
      </c>
      <c r="H375" s="64">
        <f>SUM(F375:G375)</f>
        <v>73368040</v>
      </c>
    </row>
    <row r="376" spans="1:8" s="33" customFormat="1" ht="31.5">
      <c r="A376" s="83" t="s">
        <v>395</v>
      </c>
      <c r="B376" s="61" t="s">
        <v>104</v>
      </c>
      <c r="C376" s="62" t="s">
        <v>376</v>
      </c>
      <c r="D376" s="63" t="s">
        <v>396</v>
      </c>
      <c r="E376" s="63"/>
      <c r="F376" s="66">
        <f>F379+F377</f>
        <v>27000000</v>
      </c>
      <c r="G376" s="66">
        <f>G379+G377</f>
        <v>44868040</v>
      </c>
      <c r="H376" s="64">
        <f>SUM(F376:G376)</f>
        <v>71868040</v>
      </c>
    </row>
    <row r="377" spans="1:8" s="33" customFormat="1" ht="31.5">
      <c r="A377" s="68" t="s">
        <v>121</v>
      </c>
      <c r="B377" s="61" t="s">
        <v>104</v>
      </c>
      <c r="C377" s="62" t="s">
        <v>376</v>
      </c>
      <c r="D377" s="63" t="s">
        <v>396</v>
      </c>
      <c r="E377" s="63">
        <v>200</v>
      </c>
      <c r="F377" s="66">
        <f>F378</f>
        <v>0</v>
      </c>
      <c r="G377" s="66">
        <f>G378</f>
        <v>44368040</v>
      </c>
      <c r="H377" s="64">
        <f>SUM(F377:G377)</f>
        <v>44368040</v>
      </c>
    </row>
    <row r="378" spans="1:8" s="33" customFormat="1" ht="31.5">
      <c r="A378" s="68" t="s">
        <v>123</v>
      </c>
      <c r="B378" s="61" t="s">
        <v>104</v>
      </c>
      <c r="C378" s="62" t="s">
        <v>376</v>
      </c>
      <c r="D378" s="63" t="s">
        <v>396</v>
      </c>
      <c r="E378" s="63">
        <v>240</v>
      </c>
      <c r="F378" s="66">
        <v>0</v>
      </c>
      <c r="G378" s="66">
        <v>44368040</v>
      </c>
      <c r="H378" s="64">
        <f>SUM(F378:G378)</f>
        <v>44368040</v>
      </c>
    </row>
    <row r="379" spans="1:9" s="86" customFormat="1" ht="31.5">
      <c r="A379" s="65" t="s">
        <v>167</v>
      </c>
      <c r="B379" s="61" t="s">
        <v>104</v>
      </c>
      <c r="C379" s="62" t="s">
        <v>376</v>
      </c>
      <c r="D379" s="63" t="s">
        <v>396</v>
      </c>
      <c r="E379" s="63">
        <v>600</v>
      </c>
      <c r="F379" s="66">
        <f>F380</f>
        <v>27000000</v>
      </c>
      <c r="G379" s="66">
        <f>G380</f>
        <v>500000</v>
      </c>
      <c r="H379" s="64">
        <f>SUM(F379:G379)</f>
        <v>27500000</v>
      </c>
      <c r="I379" s="85"/>
    </row>
    <row r="380" spans="1:8" s="33" customFormat="1" ht="15.75">
      <c r="A380" s="65" t="s">
        <v>397</v>
      </c>
      <c r="B380" s="61" t="s">
        <v>104</v>
      </c>
      <c r="C380" s="62" t="s">
        <v>376</v>
      </c>
      <c r="D380" s="63" t="s">
        <v>396</v>
      </c>
      <c r="E380" s="63">
        <v>620</v>
      </c>
      <c r="F380" s="66">
        <f>27500000-500000</f>
        <v>27000000</v>
      </c>
      <c r="G380" s="66">
        <v>500000</v>
      </c>
      <c r="H380" s="64">
        <f>SUM(F380:G380)</f>
        <v>27500000</v>
      </c>
    </row>
    <row r="381" spans="1:8" s="33" customFormat="1" ht="31.5">
      <c r="A381" s="83" t="s">
        <v>398</v>
      </c>
      <c r="B381" s="61" t="s">
        <v>104</v>
      </c>
      <c r="C381" s="62" t="s">
        <v>376</v>
      </c>
      <c r="D381" s="63" t="s">
        <v>399</v>
      </c>
      <c r="E381" s="63"/>
      <c r="F381" s="66">
        <f>F382</f>
        <v>1500000</v>
      </c>
      <c r="G381" s="66">
        <f>G382</f>
        <v>0</v>
      </c>
      <c r="H381" s="64">
        <f>SUM(F381:G381)</f>
        <v>1500000</v>
      </c>
    </row>
    <row r="382" spans="1:8" s="33" customFormat="1" ht="31.5">
      <c r="A382" s="65" t="s">
        <v>167</v>
      </c>
      <c r="B382" s="61" t="s">
        <v>104</v>
      </c>
      <c r="C382" s="62" t="s">
        <v>376</v>
      </c>
      <c r="D382" s="63" t="s">
        <v>399</v>
      </c>
      <c r="E382" s="63">
        <v>600</v>
      </c>
      <c r="F382" s="66">
        <f>F383</f>
        <v>1500000</v>
      </c>
      <c r="G382" s="66">
        <f>G383</f>
        <v>0</v>
      </c>
      <c r="H382" s="64">
        <f>SUM(F382:G382)</f>
        <v>1500000</v>
      </c>
    </row>
    <row r="383" spans="1:8" s="33" customFormat="1" ht="15.75">
      <c r="A383" s="65" t="s">
        <v>397</v>
      </c>
      <c r="B383" s="61" t="s">
        <v>104</v>
      </c>
      <c r="C383" s="62" t="s">
        <v>376</v>
      </c>
      <c r="D383" s="63" t="s">
        <v>399</v>
      </c>
      <c r="E383" s="63">
        <v>620</v>
      </c>
      <c r="F383" s="66">
        <f>1000000+500000</f>
        <v>1500000</v>
      </c>
      <c r="G383" s="66">
        <v>0</v>
      </c>
      <c r="H383" s="64">
        <f>SUM(F383:G383)</f>
        <v>1500000</v>
      </c>
    </row>
    <row r="384" spans="1:8" s="33" customFormat="1" ht="15.75">
      <c r="A384" s="83" t="s">
        <v>156</v>
      </c>
      <c r="B384" s="61" t="s">
        <v>104</v>
      </c>
      <c r="C384" s="62" t="s">
        <v>376</v>
      </c>
      <c r="D384" s="63" t="s">
        <v>157</v>
      </c>
      <c r="E384" s="63"/>
      <c r="F384" s="66">
        <f>F385</f>
        <v>2500000</v>
      </c>
      <c r="G384" s="66">
        <f>G385</f>
        <v>0</v>
      </c>
      <c r="H384" s="64">
        <f>SUM(F384:G384)</f>
        <v>2500000</v>
      </c>
    </row>
    <row r="385" spans="1:9" s="45" customFormat="1" ht="31.5">
      <c r="A385" s="83" t="s">
        <v>400</v>
      </c>
      <c r="B385" s="61" t="s">
        <v>104</v>
      </c>
      <c r="C385" s="62" t="s">
        <v>376</v>
      </c>
      <c r="D385" s="63" t="s">
        <v>401</v>
      </c>
      <c r="E385" s="63"/>
      <c r="F385" s="66">
        <f>F386</f>
        <v>2500000</v>
      </c>
      <c r="G385" s="66">
        <f>G386</f>
        <v>0</v>
      </c>
      <c r="H385" s="64">
        <f>SUM(F385:G385)</f>
        <v>2500000</v>
      </c>
      <c r="I385" s="33"/>
    </row>
    <row r="386" spans="1:8" s="33" customFormat="1" ht="31.5">
      <c r="A386" s="68" t="s">
        <v>121</v>
      </c>
      <c r="B386" s="61" t="s">
        <v>104</v>
      </c>
      <c r="C386" s="62" t="s">
        <v>376</v>
      </c>
      <c r="D386" s="63" t="s">
        <v>401</v>
      </c>
      <c r="E386" s="63">
        <v>200</v>
      </c>
      <c r="F386" s="66">
        <f>F387</f>
        <v>2500000</v>
      </c>
      <c r="G386" s="66">
        <f>G387</f>
        <v>0</v>
      </c>
      <c r="H386" s="64">
        <f>SUM(F386:G386)</f>
        <v>2500000</v>
      </c>
    </row>
    <row r="387" spans="1:8" s="33" customFormat="1" ht="31.5">
      <c r="A387" s="68" t="s">
        <v>123</v>
      </c>
      <c r="B387" s="61" t="s">
        <v>104</v>
      </c>
      <c r="C387" s="62" t="s">
        <v>376</v>
      </c>
      <c r="D387" s="63" t="s">
        <v>401</v>
      </c>
      <c r="E387" s="63">
        <v>240</v>
      </c>
      <c r="F387" s="69">
        <v>2500000</v>
      </c>
      <c r="G387" s="69">
        <v>0</v>
      </c>
      <c r="H387" s="64">
        <f>SUM(F387:G387)</f>
        <v>2500000</v>
      </c>
    </row>
    <row r="388" spans="1:8" s="33" customFormat="1" ht="31.5">
      <c r="A388" s="68" t="s">
        <v>402</v>
      </c>
      <c r="B388" s="61" t="s">
        <v>104</v>
      </c>
      <c r="C388" s="62" t="s">
        <v>376</v>
      </c>
      <c r="D388" s="63" t="s">
        <v>403</v>
      </c>
      <c r="E388" s="63"/>
      <c r="F388" s="69">
        <f>SUM(F395,F398,F401,F392,F389)</f>
        <v>33190483.45</v>
      </c>
      <c r="G388" s="69">
        <f>SUM(G395,G398,G401,G392,G389)</f>
        <v>2984835.4000000022</v>
      </c>
      <c r="H388" s="64">
        <f>SUM(F388:G388)</f>
        <v>36175318.85</v>
      </c>
    </row>
    <row r="389" spans="1:8" s="33" customFormat="1" ht="67.5" customHeight="1">
      <c r="A389" s="68" t="s">
        <v>404</v>
      </c>
      <c r="B389" s="61" t="s">
        <v>104</v>
      </c>
      <c r="C389" s="62" t="s">
        <v>376</v>
      </c>
      <c r="D389" s="63" t="s">
        <v>405</v>
      </c>
      <c r="E389" s="63"/>
      <c r="F389" s="69">
        <f>F390</f>
        <v>0</v>
      </c>
      <c r="G389" s="69">
        <f>G390</f>
        <v>2123173.69</v>
      </c>
      <c r="H389" s="64">
        <f>SUM(F389:G389)</f>
        <v>2123173.69</v>
      </c>
    </row>
    <row r="390" spans="1:8" s="33" customFormat="1" ht="31.5">
      <c r="A390" s="68" t="s">
        <v>121</v>
      </c>
      <c r="B390" s="61" t="s">
        <v>104</v>
      </c>
      <c r="C390" s="62" t="s">
        <v>376</v>
      </c>
      <c r="D390" s="63" t="s">
        <v>405</v>
      </c>
      <c r="E390" s="63">
        <v>200</v>
      </c>
      <c r="F390" s="69">
        <f>F391</f>
        <v>0</v>
      </c>
      <c r="G390" s="69">
        <f>G391</f>
        <v>2123173.69</v>
      </c>
      <c r="H390" s="64">
        <f>SUM(F390:G390)</f>
        <v>2123173.69</v>
      </c>
    </row>
    <row r="391" spans="1:8" s="33" customFormat="1" ht="31.5">
      <c r="A391" s="68" t="s">
        <v>123</v>
      </c>
      <c r="B391" s="61" t="s">
        <v>104</v>
      </c>
      <c r="C391" s="62" t="s">
        <v>376</v>
      </c>
      <c r="D391" s="63" t="s">
        <v>405</v>
      </c>
      <c r="E391" s="63">
        <v>240</v>
      </c>
      <c r="F391" s="69">
        <v>0</v>
      </c>
      <c r="G391" s="69">
        <f>3138545.81-964366.17-51005.95</f>
        <v>2123173.69</v>
      </c>
      <c r="H391" s="64">
        <f>SUM(F391:G391)</f>
        <v>2123173.69</v>
      </c>
    </row>
    <row r="392" spans="1:8" s="33" customFormat="1" ht="61.5" customHeight="1">
      <c r="A392" s="68" t="s">
        <v>406</v>
      </c>
      <c r="B392" s="61" t="s">
        <v>104</v>
      </c>
      <c r="C392" s="62" t="s">
        <v>376</v>
      </c>
      <c r="D392" s="63" t="s">
        <v>407</v>
      </c>
      <c r="E392" s="63"/>
      <c r="F392" s="69">
        <f>F393</f>
        <v>0</v>
      </c>
      <c r="G392" s="69">
        <f>G393</f>
        <v>964366.1700000002</v>
      </c>
      <c r="H392" s="64">
        <f>SUM(F392:G392)</f>
        <v>964366.1700000002</v>
      </c>
    </row>
    <row r="393" spans="1:8" s="33" customFormat="1" ht="31.5">
      <c r="A393" s="68" t="s">
        <v>121</v>
      </c>
      <c r="B393" s="61" t="s">
        <v>104</v>
      </c>
      <c r="C393" s="62" t="s">
        <v>376</v>
      </c>
      <c r="D393" s="63" t="s">
        <v>407</v>
      </c>
      <c r="E393" s="63">
        <v>200</v>
      </c>
      <c r="F393" s="69">
        <f>F394</f>
        <v>0</v>
      </c>
      <c r="G393" s="69">
        <f>G394</f>
        <v>964366.1700000002</v>
      </c>
      <c r="H393" s="64">
        <f>SUM(F393:G393)</f>
        <v>964366.1700000002</v>
      </c>
    </row>
    <row r="394" spans="1:8" s="33" customFormat="1" ht="31.5">
      <c r="A394" s="68" t="s">
        <v>123</v>
      </c>
      <c r="B394" s="61" t="s">
        <v>104</v>
      </c>
      <c r="C394" s="62" t="s">
        <v>376</v>
      </c>
      <c r="D394" s="63" t="s">
        <v>407</v>
      </c>
      <c r="E394" s="63">
        <v>240</v>
      </c>
      <c r="F394" s="69">
        <v>0</v>
      </c>
      <c r="G394" s="69">
        <f>102704.46+964366.17-102704.46</f>
        <v>964366.1700000002</v>
      </c>
      <c r="H394" s="64">
        <f>SUM(F394:G394)</f>
        <v>964366.1700000002</v>
      </c>
    </row>
    <row r="395" spans="1:8" s="33" customFormat="1" ht="96" customHeight="1">
      <c r="A395" s="96" t="s">
        <v>408</v>
      </c>
      <c r="B395" s="61" t="s">
        <v>104</v>
      </c>
      <c r="C395" s="62" t="s">
        <v>376</v>
      </c>
      <c r="D395" s="63" t="s">
        <v>409</v>
      </c>
      <c r="E395" s="63"/>
      <c r="F395" s="69">
        <f>F396</f>
        <v>22301732.04</v>
      </c>
      <c r="G395" s="69">
        <f>G396</f>
        <v>5258043.34</v>
      </c>
      <c r="H395" s="64">
        <f>SUM(F395:G395)</f>
        <v>27559775.38</v>
      </c>
    </row>
    <row r="396" spans="1:8" s="33" customFormat="1" ht="31.5">
      <c r="A396" s="68" t="s">
        <v>121</v>
      </c>
      <c r="B396" s="61" t="s">
        <v>104</v>
      </c>
      <c r="C396" s="62" t="s">
        <v>376</v>
      </c>
      <c r="D396" s="63" t="s">
        <v>409</v>
      </c>
      <c r="E396" s="63">
        <v>200</v>
      </c>
      <c r="F396" s="69">
        <f>F397</f>
        <v>22301732.04</v>
      </c>
      <c r="G396" s="69">
        <f>G397</f>
        <v>5258043.34</v>
      </c>
      <c r="H396" s="64">
        <f>SUM(F396:G396)</f>
        <v>27559775.38</v>
      </c>
    </row>
    <row r="397" spans="1:8" s="33" customFormat="1" ht="31.5">
      <c r="A397" s="68" t="s">
        <v>123</v>
      </c>
      <c r="B397" s="61" t="s">
        <v>104</v>
      </c>
      <c r="C397" s="62" t="s">
        <v>376</v>
      </c>
      <c r="D397" s="63" t="s">
        <v>409</v>
      </c>
      <c r="E397" s="63">
        <v>240</v>
      </c>
      <c r="F397" s="69">
        <f>21610205.47+691526.57</f>
        <v>22301732.04</v>
      </c>
      <c r="G397" s="69">
        <f>189280.87-69596.08-1425685.23+1425685.23+4994484.51+143874.04</f>
        <v>5258043.34</v>
      </c>
      <c r="H397" s="64">
        <f>SUM(F397:G397)</f>
        <v>27559775.38</v>
      </c>
    </row>
    <row r="398" spans="1:8" s="33" customFormat="1" ht="117.75" customHeight="1">
      <c r="A398" s="68" t="s">
        <v>410</v>
      </c>
      <c r="B398" s="61" t="s">
        <v>104</v>
      </c>
      <c r="C398" s="62" t="s">
        <v>376</v>
      </c>
      <c r="D398" s="63" t="s">
        <v>411</v>
      </c>
      <c r="E398" s="63"/>
      <c r="F398" s="69">
        <f>F399</f>
        <v>10888751.41</v>
      </c>
      <c r="G398" s="69">
        <f>G399</f>
        <v>-10888751.409999996</v>
      </c>
      <c r="H398" s="64">
        <f>SUM(F398:G398)</f>
        <v>0</v>
      </c>
    </row>
    <row r="399" spans="1:8" s="33" customFormat="1" ht="31.5">
      <c r="A399" s="68" t="s">
        <v>121</v>
      </c>
      <c r="B399" s="61" t="s">
        <v>104</v>
      </c>
      <c r="C399" s="62" t="s">
        <v>376</v>
      </c>
      <c r="D399" s="63" t="s">
        <v>411</v>
      </c>
      <c r="E399" s="63">
        <v>200</v>
      </c>
      <c r="F399" s="69">
        <f>F400</f>
        <v>10888751.41</v>
      </c>
      <c r="G399" s="69">
        <f>G400</f>
        <v>-10888751.409999996</v>
      </c>
      <c r="H399" s="64">
        <f>SUM(F399:G399)</f>
        <v>0</v>
      </c>
    </row>
    <row r="400" spans="1:8" s="33" customFormat="1" ht="31.5">
      <c r="A400" s="68" t="s">
        <v>123</v>
      </c>
      <c r="B400" s="61" t="s">
        <v>104</v>
      </c>
      <c r="C400" s="62" t="s">
        <v>376</v>
      </c>
      <c r="D400" s="63" t="s">
        <v>411</v>
      </c>
      <c r="E400" s="63">
        <v>240</v>
      </c>
      <c r="F400" s="69">
        <f>10551115.71+337635.7</f>
        <v>10888751.41</v>
      </c>
      <c r="G400" s="69">
        <f>-189280.87+69596.08-10769066.62+3203868.16+970124.22-4057120.59-116871.79</f>
        <v>-10888751.409999996</v>
      </c>
      <c r="H400" s="64">
        <f>SUM(F400:G400)</f>
        <v>0</v>
      </c>
    </row>
    <row r="401" spans="1:8" s="33" customFormat="1" ht="110.25" customHeight="1">
      <c r="A401" s="96" t="s">
        <v>412</v>
      </c>
      <c r="B401" s="61" t="s">
        <v>104</v>
      </c>
      <c r="C401" s="62" t="s">
        <v>376</v>
      </c>
      <c r="D401" s="63" t="s">
        <v>413</v>
      </c>
      <c r="E401" s="63"/>
      <c r="F401" s="69">
        <f>F402</f>
        <v>0</v>
      </c>
      <c r="G401" s="69">
        <f>G402</f>
        <v>5528003.6099999985</v>
      </c>
      <c r="H401" s="64">
        <f>SUM(F401:G401)</f>
        <v>5528003.6099999985</v>
      </c>
    </row>
    <row r="402" spans="1:8" s="33" customFormat="1" ht="31.5">
      <c r="A402" s="68" t="s">
        <v>121</v>
      </c>
      <c r="B402" s="61" t="s">
        <v>104</v>
      </c>
      <c r="C402" s="62" t="s">
        <v>376</v>
      </c>
      <c r="D402" s="63" t="s">
        <v>413</v>
      </c>
      <c r="E402" s="63">
        <v>200</v>
      </c>
      <c r="F402" s="69">
        <f>F403</f>
        <v>0</v>
      </c>
      <c r="G402" s="69">
        <f>G403</f>
        <v>5528003.6099999985</v>
      </c>
      <c r="H402" s="64">
        <f>SUM(F402:G402)</f>
        <v>5528003.6099999985</v>
      </c>
    </row>
    <row r="403" spans="1:8" s="33" customFormat="1" ht="31.5">
      <c r="A403" s="68" t="s">
        <v>123</v>
      </c>
      <c r="B403" s="61" t="s">
        <v>104</v>
      </c>
      <c r="C403" s="62" t="s">
        <v>376</v>
      </c>
      <c r="D403" s="63" t="s">
        <v>413</v>
      </c>
      <c r="E403" s="63">
        <v>240</v>
      </c>
      <c r="F403" s="69">
        <v>0</v>
      </c>
      <c r="G403" s="69">
        <f>10769066.62-102704.46-3203868.16-970124.22-937363.92-27002.25</f>
        <v>5528003.6099999985</v>
      </c>
      <c r="H403" s="64">
        <f>SUM(F403:G403)</f>
        <v>5528003.6099999985</v>
      </c>
    </row>
    <row r="404" spans="1:8" s="33" customFormat="1" ht="15.75">
      <c r="A404" s="104" t="s">
        <v>109</v>
      </c>
      <c r="B404" s="100" t="s">
        <v>104</v>
      </c>
      <c r="C404" s="101" t="s">
        <v>376</v>
      </c>
      <c r="D404" s="102" t="s">
        <v>110</v>
      </c>
      <c r="E404" s="102"/>
      <c r="F404" s="81">
        <f>SUM(F405,F409)</f>
        <v>683287.5</v>
      </c>
      <c r="G404" s="81">
        <f>SUM(G405,G409)</f>
        <v>5046919.29</v>
      </c>
      <c r="H404" s="80">
        <f>SUM(F404:G404)</f>
        <v>5730206.79</v>
      </c>
    </row>
    <row r="405" spans="1:8" s="33" customFormat="1" ht="31.5">
      <c r="A405" s="99" t="s">
        <v>142</v>
      </c>
      <c r="B405" s="100" t="s">
        <v>104</v>
      </c>
      <c r="C405" s="101" t="s">
        <v>376</v>
      </c>
      <c r="D405" s="102" t="s">
        <v>143</v>
      </c>
      <c r="E405" s="102"/>
      <c r="F405" s="79">
        <f>F406</f>
        <v>0</v>
      </c>
      <c r="G405" s="79">
        <f>G406</f>
        <v>5000000</v>
      </c>
      <c r="H405" s="80">
        <f>SUM(F405:G405)</f>
        <v>5000000</v>
      </c>
    </row>
    <row r="406" spans="1:8" s="33" customFormat="1" ht="47.25">
      <c r="A406" s="99" t="s">
        <v>414</v>
      </c>
      <c r="B406" s="100" t="s">
        <v>104</v>
      </c>
      <c r="C406" s="101" t="s">
        <v>376</v>
      </c>
      <c r="D406" s="102" t="s">
        <v>415</v>
      </c>
      <c r="E406" s="102"/>
      <c r="F406" s="81">
        <f>F407</f>
        <v>0</v>
      </c>
      <c r="G406" s="81">
        <f>G407</f>
        <v>5000000</v>
      </c>
      <c r="H406" s="80">
        <f>SUM(F406:G406)</f>
        <v>5000000</v>
      </c>
    </row>
    <row r="407" spans="1:8" s="33" customFormat="1" ht="15.75">
      <c r="A407" s="105" t="s">
        <v>129</v>
      </c>
      <c r="B407" s="100" t="s">
        <v>104</v>
      </c>
      <c r="C407" s="101" t="s">
        <v>376</v>
      </c>
      <c r="D407" s="102" t="s">
        <v>415</v>
      </c>
      <c r="E407" s="102">
        <v>800</v>
      </c>
      <c r="F407" s="79">
        <f>F408</f>
        <v>0</v>
      </c>
      <c r="G407" s="81">
        <f>G408</f>
        <v>5000000</v>
      </c>
      <c r="H407" s="80">
        <f>SUM(F407:G407)</f>
        <v>5000000</v>
      </c>
    </row>
    <row r="408" spans="1:8" s="33" customFormat="1" ht="47.25">
      <c r="A408" s="99" t="s">
        <v>243</v>
      </c>
      <c r="B408" s="100" t="s">
        <v>104</v>
      </c>
      <c r="C408" s="101" t="s">
        <v>376</v>
      </c>
      <c r="D408" s="102" t="s">
        <v>415</v>
      </c>
      <c r="E408" s="102">
        <v>810</v>
      </c>
      <c r="F408" s="79">
        <v>0</v>
      </c>
      <c r="G408" s="81">
        <v>5000000</v>
      </c>
      <c r="H408" s="80">
        <f>SUM(F408:G408)</f>
        <v>5000000</v>
      </c>
    </row>
    <row r="409" spans="1:8" s="33" customFormat="1" ht="47.25">
      <c r="A409" s="65" t="s">
        <v>135</v>
      </c>
      <c r="B409" s="61" t="s">
        <v>104</v>
      </c>
      <c r="C409" s="62" t="s">
        <v>376</v>
      </c>
      <c r="D409" s="63" t="s">
        <v>136</v>
      </c>
      <c r="E409" s="63"/>
      <c r="F409" s="66">
        <f>F410</f>
        <v>683287.5</v>
      </c>
      <c r="G409" s="66">
        <f>G410</f>
        <v>46919.29</v>
      </c>
      <c r="H409" s="64">
        <f>SUM(F409:G409)</f>
        <v>730206.79</v>
      </c>
    </row>
    <row r="410" spans="1:8" s="33" customFormat="1" ht="47.25">
      <c r="A410" s="65" t="s">
        <v>416</v>
      </c>
      <c r="B410" s="61" t="s">
        <v>104</v>
      </c>
      <c r="C410" s="62" t="s">
        <v>376</v>
      </c>
      <c r="D410" s="63" t="s">
        <v>417</v>
      </c>
      <c r="E410" s="63"/>
      <c r="F410" s="69">
        <f>F411</f>
        <v>683287.5</v>
      </c>
      <c r="G410" s="69">
        <f>G411</f>
        <v>46919.29</v>
      </c>
      <c r="H410" s="64">
        <f>SUM(F410:G410)</f>
        <v>730206.79</v>
      </c>
    </row>
    <row r="411" spans="1:9" s="45" customFormat="1" ht="31.5">
      <c r="A411" s="68" t="s">
        <v>121</v>
      </c>
      <c r="B411" s="61" t="s">
        <v>104</v>
      </c>
      <c r="C411" s="62" t="s">
        <v>376</v>
      </c>
      <c r="D411" s="63" t="s">
        <v>417</v>
      </c>
      <c r="E411" s="63">
        <v>200</v>
      </c>
      <c r="F411" s="69">
        <f>F412</f>
        <v>683287.5</v>
      </c>
      <c r="G411" s="69">
        <f>G412</f>
        <v>46919.29</v>
      </c>
      <c r="H411" s="64">
        <f>SUM(F411:G411)</f>
        <v>730206.79</v>
      </c>
      <c r="I411" s="33"/>
    </row>
    <row r="412" spans="1:9" s="45" customFormat="1" ht="31.5">
      <c r="A412" s="65" t="s">
        <v>123</v>
      </c>
      <c r="B412" s="61" t="s">
        <v>104</v>
      </c>
      <c r="C412" s="62" t="s">
        <v>376</v>
      </c>
      <c r="D412" s="63" t="s">
        <v>417</v>
      </c>
      <c r="E412" s="63">
        <v>240</v>
      </c>
      <c r="F412" s="69">
        <v>683287.5</v>
      </c>
      <c r="G412" s="69">
        <v>46919.29</v>
      </c>
      <c r="H412" s="64">
        <f>SUM(F412:G412)</f>
        <v>730206.79</v>
      </c>
      <c r="I412" s="33"/>
    </row>
    <row r="413" spans="1:8" s="33" customFormat="1" ht="31.5">
      <c r="A413" s="106" t="s">
        <v>418</v>
      </c>
      <c r="B413" s="56" t="s">
        <v>104</v>
      </c>
      <c r="C413" s="57" t="s">
        <v>419</v>
      </c>
      <c r="D413" s="71"/>
      <c r="E413" s="71"/>
      <c r="F413" s="107">
        <f>F414</f>
        <v>40348436.39</v>
      </c>
      <c r="G413" s="107">
        <f>G414</f>
        <v>2087128</v>
      </c>
      <c r="H413" s="58">
        <f>SUM(F413:G413)</f>
        <v>42435564.39</v>
      </c>
    </row>
    <row r="414" spans="1:8" s="33" customFormat="1" ht="31.5">
      <c r="A414" s="65" t="s">
        <v>350</v>
      </c>
      <c r="B414" s="61" t="s">
        <v>104</v>
      </c>
      <c r="C414" s="62" t="s">
        <v>419</v>
      </c>
      <c r="D414" s="63" t="s">
        <v>164</v>
      </c>
      <c r="E414" s="62"/>
      <c r="F414" s="66">
        <f>F418+F415</f>
        <v>40348436.39</v>
      </c>
      <c r="G414" s="66">
        <f>G418+G415</f>
        <v>2087128</v>
      </c>
      <c r="H414" s="64">
        <f>SUM(F414:G414)</f>
        <v>42435564.39</v>
      </c>
    </row>
    <row r="415" spans="1:8" s="33" customFormat="1" ht="20.25" customHeight="1">
      <c r="A415" s="65" t="s">
        <v>420</v>
      </c>
      <c r="B415" s="61" t="s">
        <v>104</v>
      </c>
      <c r="C415" s="62" t="s">
        <v>419</v>
      </c>
      <c r="D415" s="63" t="s">
        <v>421</v>
      </c>
      <c r="E415" s="62"/>
      <c r="F415" s="66">
        <f>F416</f>
        <v>0</v>
      </c>
      <c r="G415" s="66">
        <f>G416</f>
        <v>2087128</v>
      </c>
      <c r="H415" s="64">
        <f>SUM(F415:G415)</f>
        <v>2087128</v>
      </c>
    </row>
    <row r="416" spans="1:8" s="33" customFormat="1" ht="31.5">
      <c r="A416" s="65" t="s">
        <v>270</v>
      </c>
      <c r="B416" s="61" t="s">
        <v>104</v>
      </c>
      <c r="C416" s="62" t="s">
        <v>419</v>
      </c>
      <c r="D416" s="63" t="s">
        <v>421</v>
      </c>
      <c r="E416" s="63">
        <v>400</v>
      </c>
      <c r="F416" s="66">
        <f>F417</f>
        <v>0</v>
      </c>
      <c r="G416" s="66">
        <f>G417</f>
        <v>2087128</v>
      </c>
      <c r="H416" s="64">
        <f>SUM(F416:G416)</f>
        <v>2087128</v>
      </c>
    </row>
    <row r="417" spans="1:8" s="33" customFormat="1" ht="15.75">
      <c r="A417" s="90" t="s">
        <v>271</v>
      </c>
      <c r="B417" s="61" t="s">
        <v>104</v>
      </c>
      <c r="C417" s="62" t="s">
        <v>419</v>
      </c>
      <c r="D417" s="63" t="s">
        <v>421</v>
      </c>
      <c r="E417" s="63">
        <v>410</v>
      </c>
      <c r="F417" s="66">
        <v>0</v>
      </c>
      <c r="G417" s="66">
        <v>2087128</v>
      </c>
      <c r="H417" s="64">
        <f>SUM(F417:G417)</f>
        <v>2087128</v>
      </c>
    </row>
    <row r="418" spans="1:8" s="33" customFormat="1" ht="78.75">
      <c r="A418" s="65" t="s">
        <v>422</v>
      </c>
      <c r="B418" s="61" t="s">
        <v>104</v>
      </c>
      <c r="C418" s="62" t="s">
        <v>419</v>
      </c>
      <c r="D418" s="63" t="s">
        <v>423</v>
      </c>
      <c r="E418" s="63"/>
      <c r="F418" s="66">
        <f>F419</f>
        <v>40348436.39</v>
      </c>
      <c r="G418" s="66">
        <f>G419</f>
        <v>0</v>
      </c>
      <c r="H418" s="64">
        <f>SUM(F418:G418)</f>
        <v>40348436.39</v>
      </c>
    </row>
    <row r="419" spans="1:8" s="33" customFormat="1" ht="31.5">
      <c r="A419" s="65" t="s">
        <v>270</v>
      </c>
      <c r="B419" s="61" t="s">
        <v>104</v>
      </c>
      <c r="C419" s="62" t="s">
        <v>419</v>
      </c>
      <c r="D419" s="63" t="s">
        <v>423</v>
      </c>
      <c r="E419" s="63">
        <v>400</v>
      </c>
      <c r="F419" s="66">
        <f>F420</f>
        <v>40348436.39</v>
      </c>
      <c r="G419" s="66">
        <f>G420</f>
        <v>0</v>
      </c>
      <c r="H419" s="64">
        <f>SUM(F419:G419)</f>
        <v>40348436.39</v>
      </c>
    </row>
    <row r="420" spans="1:8" ht="15.75">
      <c r="A420" s="90" t="s">
        <v>271</v>
      </c>
      <c r="B420" s="61" t="s">
        <v>104</v>
      </c>
      <c r="C420" s="62" t="s">
        <v>419</v>
      </c>
      <c r="D420" s="63" t="s">
        <v>423</v>
      </c>
      <c r="E420" s="63">
        <v>410</v>
      </c>
      <c r="F420" s="66">
        <f>38331014.57+2017421.82</f>
        <v>40348436.39</v>
      </c>
      <c r="G420" s="66">
        <v>0</v>
      </c>
      <c r="H420" s="64">
        <f>SUM(F420:G420)</f>
        <v>40348436.39</v>
      </c>
    </row>
    <row r="421" spans="1:8" s="33" customFormat="1" ht="15.75">
      <c r="A421" s="52" t="s">
        <v>424</v>
      </c>
      <c r="B421" s="53" t="s">
        <v>104</v>
      </c>
      <c r="C421" s="53" t="s">
        <v>425</v>
      </c>
      <c r="D421" s="82"/>
      <c r="E421" s="82"/>
      <c r="F421" s="88">
        <f>SUM(F422)</f>
        <v>629895047.77</v>
      </c>
      <c r="G421" s="88">
        <f>SUM(G422)</f>
        <v>7968052.49</v>
      </c>
      <c r="H421" s="54">
        <f>SUM(F421:G421)</f>
        <v>637863100.26</v>
      </c>
    </row>
    <row r="422" spans="1:9" s="45" customFormat="1" ht="15.75">
      <c r="A422" s="55" t="s">
        <v>426</v>
      </c>
      <c r="B422" s="56" t="s">
        <v>104</v>
      </c>
      <c r="C422" s="57" t="s">
        <v>427</v>
      </c>
      <c r="D422" s="82"/>
      <c r="E422" s="82"/>
      <c r="F422" s="72">
        <f>F423</f>
        <v>629895047.77</v>
      </c>
      <c r="G422" s="72">
        <f>G423</f>
        <v>7968052.49</v>
      </c>
      <c r="H422" s="58">
        <f>SUM(F422:G422)</f>
        <v>637863100.26</v>
      </c>
      <c r="I422" s="33"/>
    </row>
    <row r="423" spans="1:8" s="33" customFormat="1" ht="31.5">
      <c r="A423" s="65" t="s">
        <v>428</v>
      </c>
      <c r="B423" s="61" t="s">
        <v>104</v>
      </c>
      <c r="C423" s="62" t="s">
        <v>427</v>
      </c>
      <c r="D423" s="63" t="s">
        <v>429</v>
      </c>
      <c r="E423" s="63"/>
      <c r="F423" s="66">
        <f>F424</f>
        <v>629895047.77</v>
      </c>
      <c r="G423" s="66">
        <f>G424</f>
        <v>7968052.49</v>
      </c>
      <c r="H423" s="64">
        <f>SUM(F423:G423)</f>
        <v>637863100.26</v>
      </c>
    </row>
    <row r="424" spans="1:8" ht="31.5">
      <c r="A424" s="83" t="s">
        <v>430</v>
      </c>
      <c r="B424" s="61" t="s">
        <v>104</v>
      </c>
      <c r="C424" s="62" t="s">
        <v>427</v>
      </c>
      <c r="D424" s="63" t="s">
        <v>431</v>
      </c>
      <c r="E424" s="63"/>
      <c r="F424" s="66">
        <f>SUM(F425,F428)</f>
        <v>629895047.77</v>
      </c>
      <c r="G424" s="66">
        <f>SUM(G425,G428)</f>
        <v>7968052.49</v>
      </c>
      <c r="H424" s="64">
        <f>SUM(F424:G424)</f>
        <v>637863100.26</v>
      </c>
    </row>
    <row r="425" spans="1:9" s="45" customFormat="1" ht="110.25">
      <c r="A425" s="65" t="s">
        <v>432</v>
      </c>
      <c r="B425" s="61" t="s">
        <v>104</v>
      </c>
      <c r="C425" s="62" t="s">
        <v>427</v>
      </c>
      <c r="D425" s="63" t="s">
        <v>433</v>
      </c>
      <c r="E425" s="63"/>
      <c r="F425" s="66">
        <f>F426</f>
        <v>286130903.33</v>
      </c>
      <c r="G425" s="66">
        <f>G426</f>
        <v>7968052.48</v>
      </c>
      <c r="H425" s="64">
        <f>SUM(F425:G425)</f>
        <v>294098955.81</v>
      </c>
      <c r="I425" s="33"/>
    </row>
    <row r="426" spans="1:9" s="45" customFormat="1" ht="31.5">
      <c r="A426" s="65" t="s">
        <v>270</v>
      </c>
      <c r="B426" s="61" t="s">
        <v>104</v>
      </c>
      <c r="C426" s="62" t="s">
        <v>427</v>
      </c>
      <c r="D426" s="63" t="s">
        <v>433</v>
      </c>
      <c r="E426" s="63">
        <v>400</v>
      </c>
      <c r="F426" s="66">
        <f>F427</f>
        <v>286130903.33</v>
      </c>
      <c r="G426" s="66">
        <f>G427</f>
        <v>7968052.48</v>
      </c>
      <c r="H426" s="64">
        <f>SUM(F426:G426)</f>
        <v>294098955.81</v>
      </c>
      <c r="I426" s="33"/>
    </row>
    <row r="427" spans="1:9" s="45" customFormat="1" ht="15.75">
      <c r="A427" s="65" t="s">
        <v>271</v>
      </c>
      <c r="B427" s="61" t="s">
        <v>104</v>
      </c>
      <c r="C427" s="62" t="s">
        <v>427</v>
      </c>
      <c r="D427" s="63" t="s">
        <v>433</v>
      </c>
      <c r="E427" s="63">
        <v>410</v>
      </c>
      <c r="F427" s="66">
        <v>286130903.33</v>
      </c>
      <c r="G427" s="66">
        <f>7171247.23+796805.25</f>
        <v>7968052.48</v>
      </c>
      <c r="H427" s="64">
        <f>SUM(F427:G427)</f>
        <v>294098955.81</v>
      </c>
      <c r="I427" s="33"/>
    </row>
    <row r="428" spans="1:9" s="45" customFormat="1" ht="113.25" customHeight="1">
      <c r="A428" s="95" t="s">
        <v>434</v>
      </c>
      <c r="B428" s="61" t="s">
        <v>104</v>
      </c>
      <c r="C428" s="62" t="s">
        <v>427</v>
      </c>
      <c r="D428" s="63" t="s">
        <v>435</v>
      </c>
      <c r="E428" s="63"/>
      <c r="F428" s="66">
        <f>F429</f>
        <v>343764144.44</v>
      </c>
      <c r="G428" s="66">
        <f>G429</f>
        <v>0.01</v>
      </c>
      <c r="H428" s="64">
        <f>SUM(F428:G428)</f>
        <v>343764144.45</v>
      </c>
      <c r="I428" s="33"/>
    </row>
    <row r="429" spans="1:9" s="45" customFormat="1" ht="31.5">
      <c r="A429" s="65" t="s">
        <v>270</v>
      </c>
      <c r="B429" s="61" t="s">
        <v>104</v>
      </c>
      <c r="C429" s="62" t="s">
        <v>427</v>
      </c>
      <c r="D429" s="63" t="s">
        <v>435</v>
      </c>
      <c r="E429" s="63">
        <v>400</v>
      </c>
      <c r="F429" s="66">
        <f>F430</f>
        <v>343764144.44</v>
      </c>
      <c r="G429" s="66">
        <f>G430</f>
        <v>0.01</v>
      </c>
      <c r="H429" s="64">
        <f>SUM(F429:G429)</f>
        <v>343764144.45</v>
      </c>
      <c r="I429" s="33"/>
    </row>
    <row r="430" spans="1:9" s="45" customFormat="1" ht="15.75">
      <c r="A430" s="65" t="s">
        <v>271</v>
      </c>
      <c r="B430" s="61" t="s">
        <v>104</v>
      </c>
      <c r="C430" s="62" t="s">
        <v>427</v>
      </c>
      <c r="D430" s="63" t="s">
        <v>435</v>
      </c>
      <c r="E430" s="63">
        <v>410</v>
      </c>
      <c r="F430" s="66">
        <f>309387730+34376414.44</f>
        <v>343764144.44</v>
      </c>
      <c r="G430" s="66">
        <v>0.01</v>
      </c>
      <c r="H430" s="64">
        <f>SUM(F430:G430)</f>
        <v>343764144.45</v>
      </c>
      <c r="I430" s="33"/>
    </row>
    <row r="431" spans="1:8" s="33" customFormat="1" ht="15.75">
      <c r="A431" s="52" t="s">
        <v>436</v>
      </c>
      <c r="B431" s="87" t="s">
        <v>104</v>
      </c>
      <c r="C431" s="53" t="s">
        <v>437</v>
      </c>
      <c r="D431" s="97"/>
      <c r="E431" s="97"/>
      <c r="F431" s="88">
        <f>SUM(F432)</f>
        <v>1000000</v>
      </c>
      <c r="G431" s="88">
        <f>SUM(G432)</f>
        <v>200000</v>
      </c>
      <c r="H431" s="54">
        <f>SUM(F431:G431)</f>
        <v>1200000</v>
      </c>
    </row>
    <row r="432" spans="1:8" s="33" customFormat="1" ht="15.75">
      <c r="A432" s="55" t="s">
        <v>438</v>
      </c>
      <c r="B432" s="56" t="s">
        <v>104</v>
      </c>
      <c r="C432" s="57" t="s">
        <v>439</v>
      </c>
      <c r="D432" s="71"/>
      <c r="E432" s="71"/>
      <c r="F432" s="72">
        <f>F433</f>
        <v>1000000</v>
      </c>
      <c r="G432" s="72">
        <f>G433</f>
        <v>200000</v>
      </c>
      <c r="H432" s="58">
        <f>SUM(F432:G432)</f>
        <v>1200000</v>
      </c>
    </row>
    <row r="433" spans="1:8" s="33" customFormat="1" ht="31.5">
      <c r="A433" s="65" t="s">
        <v>248</v>
      </c>
      <c r="B433" s="108">
        <v>440</v>
      </c>
      <c r="C433" s="62" t="s">
        <v>439</v>
      </c>
      <c r="D433" s="63" t="s">
        <v>249</v>
      </c>
      <c r="E433" s="63"/>
      <c r="F433" s="66">
        <f>F434</f>
        <v>1000000</v>
      </c>
      <c r="G433" s="66">
        <f>G434</f>
        <v>200000</v>
      </c>
      <c r="H433" s="64">
        <f>SUM(F433:G433)</f>
        <v>1200000</v>
      </c>
    </row>
    <row r="434" spans="1:8" s="33" customFormat="1" ht="47.25">
      <c r="A434" s="65" t="s">
        <v>440</v>
      </c>
      <c r="B434" s="108">
        <v>440</v>
      </c>
      <c r="C434" s="62" t="s">
        <v>439</v>
      </c>
      <c r="D434" s="63" t="s">
        <v>441</v>
      </c>
      <c r="E434" s="63"/>
      <c r="F434" s="66">
        <f>F435</f>
        <v>1000000</v>
      </c>
      <c r="G434" s="66">
        <f>G435</f>
        <v>200000</v>
      </c>
      <c r="H434" s="64">
        <f>SUM(F434:G434)</f>
        <v>1200000</v>
      </c>
    </row>
    <row r="435" spans="1:8" s="33" customFormat="1" ht="31.5">
      <c r="A435" s="65" t="s">
        <v>442</v>
      </c>
      <c r="B435" s="108">
        <v>440</v>
      </c>
      <c r="C435" s="62" t="s">
        <v>439</v>
      </c>
      <c r="D435" s="63" t="s">
        <v>443</v>
      </c>
      <c r="E435" s="63"/>
      <c r="F435" s="66">
        <f>F436</f>
        <v>1000000</v>
      </c>
      <c r="G435" s="66">
        <f>G436</f>
        <v>200000</v>
      </c>
      <c r="H435" s="64">
        <f>SUM(F435:G435)</f>
        <v>1200000</v>
      </c>
    </row>
    <row r="436" spans="1:8" s="33" customFormat="1" ht="31.5">
      <c r="A436" s="68" t="s">
        <v>121</v>
      </c>
      <c r="B436" s="108">
        <v>440</v>
      </c>
      <c r="C436" s="62" t="s">
        <v>439</v>
      </c>
      <c r="D436" s="63" t="s">
        <v>443</v>
      </c>
      <c r="E436" s="63">
        <v>200</v>
      </c>
      <c r="F436" s="66">
        <f>F437</f>
        <v>1000000</v>
      </c>
      <c r="G436" s="66">
        <f>G437</f>
        <v>200000</v>
      </c>
      <c r="H436" s="64">
        <f>SUM(F436:G436)</f>
        <v>1200000</v>
      </c>
    </row>
    <row r="437" spans="1:8" s="33" customFormat="1" ht="31.5">
      <c r="A437" s="68" t="s">
        <v>123</v>
      </c>
      <c r="B437" s="108">
        <v>440</v>
      </c>
      <c r="C437" s="62" t="s">
        <v>439</v>
      </c>
      <c r="D437" s="63" t="s">
        <v>443</v>
      </c>
      <c r="E437" s="63">
        <v>240</v>
      </c>
      <c r="F437" s="69">
        <v>1000000</v>
      </c>
      <c r="G437" s="69">
        <v>200000</v>
      </c>
      <c r="H437" s="64">
        <f>SUM(F437:G437)</f>
        <v>1200000</v>
      </c>
    </row>
    <row r="438" spans="1:8" s="33" customFormat="1" ht="15.75">
      <c r="A438" s="52" t="s">
        <v>444</v>
      </c>
      <c r="B438" s="53" t="s">
        <v>104</v>
      </c>
      <c r="C438" s="53" t="s">
        <v>445</v>
      </c>
      <c r="D438" s="63"/>
      <c r="E438" s="63"/>
      <c r="F438" s="88">
        <f>SUM(F462,F439)</f>
        <v>135209444.45</v>
      </c>
      <c r="G438" s="88">
        <f>SUM(G462,G439)</f>
        <v>21539338</v>
      </c>
      <c r="H438" s="54">
        <f>SUM(F438:G438)</f>
        <v>156748782.45</v>
      </c>
    </row>
    <row r="439" spans="1:8" s="33" customFormat="1" ht="15.75">
      <c r="A439" s="55" t="s">
        <v>446</v>
      </c>
      <c r="B439" s="57" t="s">
        <v>104</v>
      </c>
      <c r="C439" s="57" t="s">
        <v>447</v>
      </c>
      <c r="D439" s="63"/>
      <c r="E439" s="63"/>
      <c r="F439" s="72">
        <f>F440+F457</f>
        <v>123209444.45</v>
      </c>
      <c r="G439" s="72">
        <f>G440+G457</f>
        <v>21539338</v>
      </c>
      <c r="H439" s="58">
        <f>SUM(F439:G439)</f>
        <v>144748782.45</v>
      </c>
    </row>
    <row r="440" spans="1:9" s="45" customFormat="1" ht="31.5">
      <c r="A440" s="65" t="s">
        <v>448</v>
      </c>
      <c r="B440" s="62" t="s">
        <v>104</v>
      </c>
      <c r="C440" s="62" t="s">
        <v>447</v>
      </c>
      <c r="D440" s="63" t="s">
        <v>449</v>
      </c>
      <c r="E440" s="63"/>
      <c r="F440" s="66">
        <f>SUM(F441,F444,F450,F454,F447)</f>
        <v>121542777.78</v>
      </c>
      <c r="G440" s="66">
        <f>SUM(G441,G444,G450,G454,G447)</f>
        <v>21539338</v>
      </c>
      <c r="H440" s="64">
        <f>SUM(F440:G440)</f>
        <v>143082115.78</v>
      </c>
      <c r="I440" s="33"/>
    </row>
    <row r="441" spans="1:9" s="45" customFormat="1" ht="31.5">
      <c r="A441" s="109" t="s">
        <v>450</v>
      </c>
      <c r="B441" s="61" t="s">
        <v>104</v>
      </c>
      <c r="C441" s="62" t="s">
        <v>447</v>
      </c>
      <c r="D441" s="63" t="s">
        <v>451</v>
      </c>
      <c r="E441" s="63"/>
      <c r="F441" s="66">
        <f>F442</f>
        <v>2000000</v>
      </c>
      <c r="G441" s="66">
        <f>G442</f>
        <v>1000000</v>
      </c>
      <c r="H441" s="64">
        <f>SUM(F441:G441)</f>
        <v>3000000</v>
      </c>
      <c r="I441" s="33"/>
    </row>
    <row r="442" spans="1:9" s="45" customFormat="1" ht="31.5">
      <c r="A442" s="65" t="s">
        <v>167</v>
      </c>
      <c r="B442" s="61" t="s">
        <v>104</v>
      </c>
      <c r="C442" s="62" t="s">
        <v>447</v>
      </c>
      <c r="D442" s="63" t="s">
        <v>451</v>
      </c>
      <c r="E442" s="63">
        <v>600</v>
      </c>
      <c r="F442" s="66">
        <f>F443</f>
        <v>2000000</v>
      </c>
      <c r="G442" s="66">
        <f>G443</f>
        <v>1000000</v>
      </c>
      <c r="H442" s="64">
        <f>SUM(F442:G442)</f>
        <v>3000000</v>
      </c>
      <c r="I442" s="33"/>
    </row>
    <row r="443" spans="1:8" s="33" customFormat="1" ht="15.75">
      <c r="A443" s="65" t="s">
        <v>397</v>
      </c>
      <c r="B443" s="61" t="s">
        <v>104</v>
      </c>
      <c r="C443" s="62" t="s">
        <v>447</v>
      </c>
      <c r="D443" s="63" t="s">
        <v>451</v>
      </c>
      <c r="E443" s="63">
        <v>620</v>
      </c>
      <c r="F443" s="66">
        <v>2000000</v>
      </c>
      <c r="G443" s="66">
        <v>1000000</v>
      </c>
      <c r="H443" s="64">
        <f>SUM(F443:G443)</f>
        <v>3000000</v>
      </c>
    </row>
    <row r="444" spans="1:9" s="45" customFormat="1" ht="47.25">
      <c r="A444" s="65" t="s">
        <v>452</v>
      </c>
      <c r="B444" s="62" t="s">
        <v>104</v>
      </c>
      <c r="C444" s="62" t="s">
        <v>447</v>
      </c>
      <c r="D444" s="63" t="s">
        <v>453</v>
      </c>
      <c r="E444" s="63"/>
      <c r="F444" s="66">
        <f>F445</f>
        <v>25500000</v>
      </c>
      <c r="G444" s="66">
        <f>G445</f>
        <v>5000000</v>
      </c>
      <c r="H444" s="64">
        <f>SUM(F444:G444)</f>
        <v>30500000</v>
      </c>
      <c r="I444" s="33"/>
    </row>
    <row r="445" spans="1:9" s="45" customFormat="1" ht="15.75">
      <c r="A445" s="65" t="s">
        <v>129</v>
      </c>
      <c r="B445" s="62" t="s">
        <v>104</v>
      </c>
      <c r="C445" s="62" t="s">
        <v>447</v>
      </c>
      <c r="D445" s="63" t="s">
        <v>453</v>
      </c>
      <c r="E445" s="63">
        <v>800</v>
      </c>
      <c r="F445" s="66">
        <f>F446</f>
        <v>25500000</v>
      </c>
      <c r="G445" s="66">
        <f>G446</f>
        <v>5000000</v>
      </c>
      <c r="H445" s="64">
        <f>SUM(F445:G445)</f>
        <v>30500000</v>
      </c>
      <c r="I445" s="33"/>
    </row>
    <row r="446" spans="1:8" s="33" customFormat="1" ht="47.25">
      <c r="A446" s="65" t="s">
        <v>243</v>
      </c>
      <c r="B446" s="62" t="s">
        <v>104</v>
      </c>
      <c r="C446" s="62" t="s">
        <v>447</v>
      </c>
      <c r="D446" s="63" t="s">
        <v>453</v>
      </c>
      <c r="E446" s="63">
        <v>810</v>
      </c>
      <c r="F446" s="66">
        <v>25500000</v>
      </c>
      <c r="G446" s="66">
        <v>5000000</v>
      </c>
      <c r="H446" s="64">
        <f>SUM(F446:G446)</f>
        <v>30500000</v>
      </c>
    </row>
    <row r="447" spans="1:8" s="33" customFormat="1" ht="76.5" customHeight="1">
      <c r="A447" s="65" t="s">
        <v>454</v>
      </c>
      <c r="B447" s="62" t="s">
        <v>104</v>
      </c>
      <c r="C447" s="62" t="s">
        <v>447</v>
      </c>
      <c r="D447" s="63" t="s">
        <v>455</v>
      </c>
      <c r="E447" s="63"/>
      <c r="F447" s="66">
        <f>F448</f>
        <v>0</v>
      </c>
      <c r="G447" s="66">
        <f>G448</f>
        <v>15539338</v>
      </c>
      <c r="H447" s="64">
        <f>SUM(F447:G447)</f>
        <v>15539338</v>
      </c>
    </row>
    <row r="448" spans="1:8" s="33" customFormat="1" ht="31.5">
      <c r="A448" s="65" t="s">
        <v>167</v>
      </c>
      <c r="B448" s="62" t="s">
        <v>104</v>
      </c>
      <c r="C448" s="62" t="s">
        <v>447</v>
      </c>
      <c r="D448" s="63" t="s">
        <v>455</v>
      </c>
      <c r="E448" s="63">
        <v>600</v>
      </c>
      <c r="F448" s="66">
        <f>F449</f>
        <v>0</v>
      </c>
      <c r="G448" s="66">
        <f>G449</f>
        <v>15539338</v>
      </c>
      <c r="H448" s="64">
        <f>SUM(F448:G448)</f>
        <v>15539338</v>
      </c>
    </row>
    <row r="449" spans="1:8" ht="15.75">
      <c r="A449" s="65" t="s">
        <v>168</v>
      </c>
      <c r="B449" s="62" t="s">
        <v>104</v>
      </c>
      <c r="C449" s="62" t="s">
        <v>447</v>
      </c>
      <c r="D449" s="63" t="s">
        <v>455</v>
      </c>
      <c r="E449" s="63">
        <v>610</v>
      </c>
      <c r="F449" s="66">
        <v>0</v>
      </c>
      <c r="G449" s="66">
        <v>15539338</v>
      </c>
      <c r="H449" s="64">
        <f>SUM(F449:G449)</f>
        <v>15539338</v>
      </c>
    </row>
    <row r="450" spans="1:8" ht="31.5">
      <c r="A450" s="65" t="s">
        <v>456</v>
      </c>
      <c r="B450" s="62" t="s">
        <v>104</v>
      </c>
      <c r="C450" s="62" t="s">
        <v>447</v>
      </c>
      <c r="D450" s="63" t="s">
        <v>457</v>
      </c>
      <c r="E450" s="63"/>
      <c r="F450" s="66">
        <f>F451</f>
        <v>90265000</v>
      </c>
      <c r="G450" s="66">
        <f>G451</f>
        <v>0</v>
      </c>
      <c r="H450" s="64">
        <f>SUM(F450:G450)</f>
        <v>90265000</v>
      </c>
    </row>
    <row r="451" spans="1:8" s="110" customFormat="1" ht="31.5">
      <c r="A451" s="65" t="s">
        <v>167</v>
      </c>
      <c r="B451" s="62" t="s">
        <v>104</v>
      </c>
      <c r="C451" s="62" t="s">
        <v>447</v>
      </c>
      <c r="D451" s="63" t="s">
        <v>457</v>
      </c>
      <c r="E451" s="63">
        <v>600</v>
      </c>
      <c r="F451" s="66">
        <f>SUM(F452,F453)</f>
        <v>90265000</v>
      </c>
      <c r="G451" s="66">
        <f>SUM(G452,G453)</f>
        <v>0</v>
      </c>
      <c r="H451" s="64">
        <f>SUM(F451:G451)</f>
        <v>90265000</v>
      </c>
    </row>
    <row r="452" spans="1:8" s="110" customFormat="1" ht="15.75">
      <c r="A452" s="65" t="s">
        <v>168</v>
      </c>
      <c r="B452" s="62" t="s">
        <v>104</v>
      </c>
      <c r="C452" s="62" t="s">
        <v>447</v>
      </c>
      <c r="D452" s="63" t="s">
        <v>457</v>
      </c>
      <c r="E452" s="63">
        <v>610</v>
      </c>
      <c r="F452" s="66">
        <v>27265000</v>
      </c>
      <c r="G452" s="66">
        <v>0</v>
      </c>
      <c r="H452" s="64">
        <f>SUM(F452:G452)</f>
        <v>27265000</v>
      </c>
    </row>
    <row r="453" spans="1:8" s="110" customFormat="1" ht="15.75">
      <c r="A453" s="65" t="s">
        <v>397</v>
      </c>
      <c r="B453" s="62" t="s">
        <v>104</v>
      </c>
      <c r="C453" s="62" t="s">
        <v>447</v>
      </c>
      <c r="D453" s="63" t="s">
        <v>457</v>
      </c>
      <c r="E453" s="63">
        <v>620</v>
      </c>
      <c r="F453" s="66">
        <v>63000000</v>
      </c>
      <c r="G453" s="66">
        <v>0</v>
      </c>
      <c r="H453" s="64">
        <f>SUM(F453:G453)</f>
        <v>63000000</v>
      </c>
    </row>
    <row r="454" spans="1:8" ht="94.5">
      <c r="A454" s="65" t="s">
        <v>458</v>
      </c>
      <c r="B454" s="62" t="s">
        <v>104</v>
      </c>
      <c r="C454" s="62" t="s">
        <v>447</v>
      </c>
      <c r="D454" s="63" t="s">
        <v>459</v>
      </c>
      <c r="E454" s="63"/>
      <c r="F454" s="66">
        <f>F455</f>
        <v>3777777.7800000003</v>
      </c>
      <c r="G454" s="66">
        <f>G455</f>
        <v>0</v>
      </c>
      <c r="H454" s="64">
        <f>SUM(F454:G454)</f>
        <v>3777777.7800000003</v>
      </c>
    </row>
    <row r="455" spans="1:8" s="110" customFormat="1" ht="31.5">
      <c r="A455" s="65" t="s">
        <v>167</v>
      </c>
      <c r="B455" s="62" t="s">
        <v>104</v>
      </c>
      <c r="C455" s="62" t="s">
        <v>447</v>
      </c>
      <c r="D455" s="63" t="s">
        <v>459</v>
      </c>
      <c r="E455" s="63">
        <v>600</v>
      </c>
      <c r="F455" s="66">
        <f>SUM(F456:F456)</f>
        <v>3777777.7800000003</v>
      </c>
      <c r="G455" s="66">
        <f>SUM(G456:G456)</f>
        <v>0</v>
      </c>
      <c r="H455" s="64">
        <f>SUM(F455:G455)</f>
        <v>3777777.7800000003</v>
      </c>
    </row>
    <row r="456" spans="1:8" s="110" customFormat="1" ht="15.75">
      <c r="A456" s="65" t="s">
        <v>168</v>
      </c>
      <c r="B456" s="62" t="s">
        <v>104</v>
      </c>
      <c r="C456" s="62" t="s">
        <v>447</v>
      </c>
      <c r="D456" s="63" t="s">
        <v>459</v>
      </c>
      <c r="E456" s="63">
        <v>610</v>
      </c>
      <c r="F456" s="66">
        <f>3400000+377777.78</f>
        <v>3777777.7800000003</v>
      </c>
      <c r="G456" s="66">
        <v>0</v>
      </c>
      <c r="H456" s="64">
        <f>SUM(F456:G456)</f>
        <v>3777777.7800000003</v>
      </c>
    </row>
    <row r="457" spans="1:8" s="110" customFormat="1" ht="31.5" customHeight="1">
      <c r="A457" s="65" t="s">
        <v>460</v>
      </c>
      <c r="B457" s="62" t="s">
        <v>104</v>
      </c>
      <c r="C457" s="62" t="s">
        <v>447</v>
      </c>
      <c r="D457" s="63" t="s">
        <v>249</v>
      </c>
      <c r="E457" s="63"/>
      <c r="F457" s="66">
        <f>F458</f>
        <v>1666666.67</v>
      </c>
      <c r="G457" s="66">
        <f>G458</f>
        <v>0</v>
      </c>
      <c r="H457" s="64">
        <f>SUM(F457:G457)</f>
        <v>1666666.67</v>
      </c>
    </row>
    <row r="458" spans="1:8" s="110" customFormat="1" ht="15.75">
      <c r="A458" s="65" t="s">
        <v>250</v>
      </c>
      <c r="B458" s="62" t="s">
        <v>104</v>
      </c>
      <c r="C458" s="62" t="s">
        <v>447</v>
      </c>
      <c r="D458" s="63" t="s">
        <v>251</v>
      </c>
      <c r="E458" s="63"/>
      <c r="F458" s="66">
        <f>F459</f>
        <v>1666666.67</v>
      </c>
      <c r="G458" s="66">
        <f>G459</f>
        <v>0</v>
      </c>
      <c r="H458" s="64">
        <f>SUM(F458:G458)</f>
        <v>1666666.67</v>
      </c>
    </row>
    <row r="459" spans="1:8" s="110" customFormat="1" ht="47.25">
      <c r="A459" s="65" t="s">
        <v>461</v>
      </c>
      <c r="B459" s="62" t="s">
        <v>104</v>
      </c>
      <c r="C459" s="62" t="s">
        <v>447</v>
      </c>
      <c r="D459" s="63" t="s">
        <v>462</v>
      </c>
      <c r="E459" s="63"/>
      <c r="F459" s="66">
        <f>F460</f>
        <v>1666666.67</v>
      </c>
      <c r="G459" s="66">
        <f>G460</f>
        <v>0</v>
      </c>
      <c r="H459" s="64">
        <f>SUM(F459:G459)</f>
        <v>1666666.67</v>
      </c>
    </row>
    <row r="460" spans="1:8" s="110" customFormat="1" ht="31.5">
      <c r="A460" s="65" t="s">
        <v>167</v>
      </c>
      <c r="B460" s="62" t="s">
        <v>104</v>
      </c>
      <c r="C460" s="62" t="s">
        <v>447</v>
      </c>
      <c r="D460" s="63" t="s">
        <v>462</v>
      </c>
      <c r="E460" s="63">
        <v>600</v>
      </c>
      <c r="F460" s="66">
        <f>F461</f>
        <v>1666666.67</v>
      </c>
      <c r="G460" s="66">
        <f>G461</f>
        <v>0</v>
      </c>
      <c r="H460" s="64">
        <f>SUM(F460:G460)</f>
        <v>1666666.67</v>
      </c>
    </row>
    <row r="461" spans="1:8" s="110" customFormat="1" ht="15.75">
      <c r="A461" s="65" t="s">
        <v>397</v>
      </c>
      <c r="B461" s="62" t="s">
        <v>104</v>
      </c>
      <c r="C461" s="62" t="s">
        <v>447</v>
      </c>
      <c r="D461" s="63" t="s">
        <v>462</v>
      </c>
      <c r="E461" s="63">
        <v>620</v>
      </c>
      <c r="F461" s="66">
        <v>1666666.67</v>
      </c>
      <c r="G461" s="66">
        <v>0</v>
      </c>
      <c r="H461" s="64">
        <f>SUM(F461:G461)</f>
        <v>1666666.67</v>
      </c>
    </row>
    <row r="462" spans="1:8" ht="15.75">
      <c r="A462" s="55" t="s">
        <v>463</v>
      </c>
      <c r="B462" s="57" t="s">
        <v>104</v>
      </c>
      <c r="C462" s="57" t="s">
        <v>464</v>
      </c>
      <c r="D462" s="63"/>
      <c r="E462" s="63"/>
      <c r="F462" s="72">
        <f>F463</f>
        <v>12000000</v>
      </c>
      <c r="G462" s="72">
        <f>G463</f>
        <v>0</v>
      </c>
      <c r="H462" s="58">
        <f>SUM(F462:G462)</f>
        <v>12000000</v>
      </c>
    </row>
    <row r="463" spans="1:8" ht="31.5">
      <c r="A463" s="65" t="s">
        <v>448</v>
      </c>
      <c r="B463" s="62" t="s">
        <v>104</v>
      </c>
      <c r="C463" s="62" t="s">
        <v>464</v>
      </c>
      <c r="D463" s="63" t="s">
        <v>449</v>
      </c>
      <c r="E463" s="63"/>
      <c r="F463" s="66">
        <f>F464</f>
        <v>12000000</v>
      </c>
      <c r="G463" s="66">
        <f>G464</f>
        <v>0</v>
      </c>
      <c r="H463" s="64">
        <f>SUM(F463:G463)</f>
        <v>12000000</v>
      </c>
    </row>
    <row r="464" spans="1:8" ht="31.5">
      <c r="A464" s="65" t="s">
        <v>465</v>
      </c>
      <c r="B464" s="62" t="s">
        <v>104</v>
      </c>
      <c r="C464" s="62" t="s">
        <v>464</v>
      </c>
      <c r="D464" s="63" t="s">
        <v>466</v>
      </c>
      <c r="E464" s="63"/>
      <c r="F464" s="66">
        <f>F465</f>
        <v>12000000</v>
      </c>
      <c r="G464" s="66">
        <f>G465</f>
        <v>0</v>
      </c>
      <c r="H464" s="64">
        <f>SUM(F464:G464)</f>
        <v>12000000</v>
      </c>
    </row>
    <row r="465" spans="1:8" ht="15.75">
      <c r="A465" s="65" t="s">
        <v>129</v>
      </c>
      <c r="B465" s="62" t="s">
        <v>104</v>
      </c>
      <c r="C465" s="62" t="s">
        <v>464</v>
      </c>
      <c r="D465" s="63" t="s">
        <v>466</v>
      </c>
      <c r="E465" s="63">
        <v>800</v>
      </c>
      <c r="F465" s="66">
        <f>F466</f>
        <v>12000000</v>
      </c>
      <c r="G465" s="66">
        <f>G466</f>
        <v>0</v>
      </c>
      <c r="H465" s="64">
        <f>SUM(F465:G465)</f>
        <v>12000000</v>
      </c>
    </row>
    <row r="466" spans="1:8" ht="47.25">
      <c r="A466" s="65" t="s">
        <v>243</v>
      </c>
      <c r="B466" s="62" t="s">
        <v>104</v>
      </c>
      <c r="C466" s="62" t="s">
        <v>464</v>
      </c>
      <c r="D466" s="63" t="s">
        <v>466</v>
      </c>
      <c r="E466" s="63">
        <v>810</v>
      </c>
      <c r="F466" s="66">
        <v>12000000</v>
      </c>
      <c r="G466" s="66">
        <v>0</v>
      </c>
      <c r="H466" s="64">
        <f>SUM(F466:G466)</f>
        <v>12000000</v>
      </c>
    </row>
    <row r="467" spans="1:8" s="110" customFormat="1" ht="15.75">
      <c r="A467" s="52" t="s">
        <v>467</v>
      </c>
      <c r="B467" s="87" t="s">
        <v>104</v>
      </c>
      <c r="C467" s="53" t="s">
        <v>468</v>
      </c>
      <c r="D467" s="63"/>
      <c r="E467" s="63"/>
      <c r="F467" s="88">
        <f>SUM(F474,F468)</f>
        <v>3600000</v>
      </c>
      <c r="G467" s="88">
        <f>SUM(G474,G468)</f>
        <v>0</v>
      </c>
      <c r="H467" s="54">
        <f>SUM(F467:G467)</f>
        <v>3600000</v>
      </c>
    </row>
    <row r="468" spans="1:8" s="110" customFormat="1" ht="15.75">
      <c r="A468" s="55" t="s">
        <v>469</v>
      </c>
      <c r="B468" s="56" t="s">
        <v>104</v>
      </c>
      <c r="C468" s="57" t="s">
        <v>470</v>
      </c>
      <c r="D468" s="63"/>
      <c r="E468" s="63"/>
      <c r="F468" s="72">
        <f>F469</f>
        <v>2550000</v>
      </c>
      <c r="G468" s="72">
        <f>G469</f>
        <v>0</v>
      </c>
      <c r="H468" s="58">
        <f>SUM(F468:G468)</f>
        <v>2550000</v>
      </c>
    </row>
    <row r="469" spans="1:8" ht="15.75">
      <c r="A469" s="60" t="s">
        <v>109</v>
      </c>
      <c r="B469" s="61" t="s">
        <v>104</v>
      </c>
      <c r="C469" s="62" t="s">
        <v>470</v>
      </c>
      <c r="D469" s="63" t="s">
        <v>110</v>
      </c>
      <c r="E469" s="63"/>
      <c r="F469" s="66">
        <f>F470</f>
        <v>2550000</v>
      </c>
      <c r="G469" s="66">
        <f>G470</f>
        <v>0</v>
      </c>
      <c r="H469" s="64">
        <f>SUM(F469:G469)</f>
        <v>2550000</v>
      </c>
    </row>
    <row r="470" spans="1:8" ht="31.5">
      <c r="A470" s="65" t="s">
        <v>142</v>
      </c>
      <c r="B470" s="61" t="s">
        <v>104</v>
      </c>
      <c r="C470" s="62" t="s">
        <v>470</v>
      </c>
      <c r="D470" s="63" t="s">
        <v>143</v>
      </c>
      <c r="E470" s="63"/>
      <c r="F470" s="66">
        <f>F471</f>
        <v>2550000</v>
      </c>
      <c r="G470" s="66">
        <f>G471</f>
        <v>0</v>
      </c>
      <c r="H470" s="64">
        <f>SUM(F470:G470)</f>
        <v>2550000</v>
      </c>
    </row>
    <row r="471" spans="1:8" s="110" customFormat="1" ht="47.25">
      <c r="A471" s="65" t="s">
        <v>471</v>
      </c>
      <c r="B471" s="61" t="s">
        <v>104</v>
      </c>
      <c r="C471" s="62" t="s">
        <v>470</v>
      </c>
      <c r="D471" s="63" t="s">
        <v>472</v>
      </c>
      <c r="E471" s="63"/>
      <c r="F471" s="66">
        <f>F472</f>
        <v>2550000</v>
      </c>
      <c r="G471" s="66">
        <f>G472</f>
        <v>0</v>
      </c>
      <c r="H471" s="64">
        <f>SUM(F471:G471)</f>
        <v>2550000</v>
      </c>
    </row>
    <row r="472" spans="1:8" s="110" customFormat="1" ht="31.5">
      <c r="A472" s="68" t="s">
        <v>121</v>
      </c>
      <c r="B472" s="61" t="s">
        <v>104</v>
      </c>
      <c r="C472" s="62" t="s">
        <v>470</v>
      </c>
      <c r="D472" s="63" t="s">
        <v>472</v>
      </c>
      <c r="E472" s="63">
        <v>200</v>
      </c>
      <c r="F472" s="66">
        <f>F473</f>
        <v>2550000</v>
      </c>
      <c r="G472" s="66">
        <f>G473</f>
        <v>0</v>
      </c>
      <c r="H472" s="64">
        <f>SUM(F472:G472)</f>
        <v>2550000</v>
      </c>
    </row>
    <row r="473" spans="1:8" s="110" customFormat="1" ht="31.5">
      <c r="A473" s="68" t="s">
        <v>123</v>
      </c>
      <c r="B473" s="61" t="s">
        <v>104</v>
      </c>
      <c r="C473" s="62" t="s">
        <v>470</v>
      </c>
      <c r="D473" s="63" t="s">
        <v>472</v>
      </c>
      <c r="E473" s="63">
        <v>240</v>
      </c>
      <c r="F473" s="66">
        <v>2550000</v>
      </c>
      <c r="G473" s="66">
        <v>0</v>
      </c>
      <c r="H473" s="64">
        <f>SUM(F473:G473)</f>
        <v>2550000</v>
      </c>
    </row>
    <row r="474" spans="1:8" s="110" customFormat="1" ht="15.75">
      <c r="A474" s="55" t="s">
        <v>473</v>
      </c>
      <c r="B474" s="56" t="s">
        <v>104</v>
      </c>
      <c r="C474" s="57" t="s">
        <v>474</v>
      </c>
      <c r="D474" s="63"/>
      <c r="E474" s="63"/>
      <c r="F474" s="72">
        <f>F475</f>
        <v>1050000</v>
      </c>
      <c r="G474" s="72">
        <f>G475</f>
        <v>0</v>
      </c>
      <c r="H474" s="58">
        <f>SUM(F474:G474)</f>
        <v>1050000</v>
      </c>
    </row>
    <row r="475" spans="1:8" s="110" customFormat="1" ht="15.75">
      <c r="A475" s="60" t="s">
        <v>109</v>
      </c>
      <c r="B475" s="61" t="s">
        <v>104</v>
      </c>
      <c r="C475" s="62" t="s">
        <v>474</v>
      </c>
      <c r="D475" s="63" t="s">
        <v>110</v>
      </c>
      <c r="E475" s="63"/>
      <c r="F475" s="66">
        <f>F476</f>
        <v>1050000</v>
      </c>
      <c r="G475" s="66">
        <f>G476</f>
        <v>0</v>
      </c>
      <c r="H475" s="64">
        <f>SUM(F475:G475)</f>
        <v>1050000</v>
      </c>
    </row>
    <row r="476" spans="1:8" ht="31.5">
      <c r="A476" s="65" t="s">
        <v>142</v>
      </c>
      <c r="B476" s="61" t="s">
        <v>104</v>
      </c>
      <c r="C476" s="62" t="s">
        <v>474</v>
      </c>
      <c r="D476" s="63" t="s">
        <v>143</v>
      </c>
      <c r="E476" s="63"/>
      <c r="F476" s="66">
        <f>F477</f>
        <v>1050000</v>
      </c>
      <c r="G476" s="66">
        <f>G477</f>
        <v>0</v>
      </c>
      <c r="H476" s="64">
        <f>SUM(F476:G476)</f>
        <v>1050000</v>
      </c>
    </row>
    <row r="477" spans="1:8" ht="47.25">
      <c r="A477" s="65" t="s">
        <v>471</v>
      </c>
      <c r="B477" s="61" t="s">
        <v>104</v>
      </c>
      <c r="C477" s="62" t="s">
        <v>474</v>
      </c>
      <c r="D477" s="63" t="s">
        <v>472</v>
      </c>
      <c r="E477" s="63"/>
      <c r="F477" s="66">
        <f>F478</f>
        <v>1050000</v>
      </c>
      <c r="G477" s="66">
        <f>G478</f>
        <v>0</v>
      </c>
      <c r="H477" s="64">
        <f>SUM(F477:G477)</f>
        <v>1050000</v>
      </c>
    </row>
    <row r="478" spans="1:8" ht="31.5">
      <c r="A478" s="68" t="s">
        <v>121</v>
      </c>
      <c r="B478" s="61" t="s">
        <v>104</v>
      </c>
      <c r="C478" s="62" t="s">
        <v>474</v>
      </c>
      <c r="D478" s="63" t="s">
        <v>472</v>
      </c>
      <c r="E478" s="63">
        <v>200</v>
      </c>
      <c r="F478" s="66">
        <f>F479</f>
        <v>1050000</v>
      </c>
      <c r="G478" s="66">
        <f>G479</f>
        <v>0</v>
      </c>
      <c r="H478" s="64">
        <f>SUM(F478:G478)</f>
        <v>1050000</v>
      </c>
    </row>
    <row r="479" spans="1:8" ht="31.5">
      <c r="A479" s="68" t="s">
        <v>123</v>
      </c>
      <c r="B479" s="61" t="s">
        <v>104</v>
      </c>
      <c r="C479" s="62" t="s">
        <v>474</v>
      </c>
      <c r="D479" s="63" t="s">
        <v>472</v>
      </c>
      <c r="E479" s="63">
        <v>240</v>
      </c>
      <c r="F479" s="66">
        <v>1050000</v>
      </c>
      <c r="G479" s="66">
        <v>0</v>
      </c>
      <c r="H479" s="64">
        <f>SUM(F479:G479)</f>
        <v>1050000</v>
      </c>
    </row>
    <row r="480" spans="1:8" ht="31.5">
      <c r="A480" s="52" t="s">
        <v>475</v>
      </c>
      <c r="B480" s="53" t="s">
        <v>104</v>
      </c>
      <c r="C480" s="53" t="s">
        <v>476</v>
      </c>
      <c r="D480" s="63"/>
      <c r="E480" s="63"/>
      <c r="F480" s="88">
        <f aca="true" t="shared" si="1" ref="F480:F485">F481</f>
        <v>25000000</v>
      </c>
      <c r="G480" s="88">
        <f aca="true" t="shared" si="2" ref="G480:G485">G481</f>
        <v>0</v>
      </c>
      <c r="H480" s="54">
        <f>SUM(F480:G480)</f>
        <v>25000000</v>
      </c>
    </row>
    <row r="481" spans="1:8" ht="31.5">
      <c r="A481" s="55" t="s">
        <v>477</v>
      </c>
      <c r="B481" s="53" t="s">
        <v>104</v>
      </c>
      <c r="C481" s="57" t="s">
        <v>478</v>
      </c>
      <c r="D481" s="63"/>
      <c r="E481" s="63"/>
      <c r="F481" s="72">
        <f t="shared" si="1"/>
        <v>25000000</v>
      </c>
      <c r="G481" s="72">
        <f t="shared" si="2"/>
        <v>0</v>
      </c>
      <c r="H481" s="58">
        <f>SUM(F481:G481)</f>
        <v>25000000</v>
      </c>
    </row>
    <row r="482" spans="1:8" ht="15.75">
      <c r="A482" s="60" t="s">
        <v>109</v>
      </c>
      <c r="B482" s="62" t="s">
        <v>104</v>
      </c>
      <c r="C482" s="62" t="s">
        <v>478</v>
      </c>
      <c r="D482" s="63" t="s">
        <v>110</v>
      </c>
      <c r="E482" s="63"/>
      <c r="F482" s="66">
        <f t="shared" si="1"/>
        <v>25000000</v>
      </c>
      <c r="G482" s="66">
        <f t="shared" si="2"/>
        <v>0</v>
      </c>
      <c r="H482" s="64">
        <f>SUM(F482:G482)</f>
        <v>25000000</v>
      </c>
    </row>
    <row r="483" spans="1:8" ht="47.25">
      <c r="A483" s="65" t="s">
        <v>479</v>
      </c>
      <c r="B483" s="62" t="s">
        <v>104</v>
      </c>
      <c r="C483" s="62" t="s">
        <v>478</v>
      </c>
      <c r="D483" s="63" t="s">
        <v>143</v>
      </c>
      <c r="E483" s="63"/>
      <c r="F483" s="66">
        <f t="shared" si="1"/>
        <v>25000000</v>
      </c>
      <c r="G483" s="66">
        <f t="shared" si="2"/>
        <v>0</v>
      </c>
      <c r="H483" s="64">
        <f>SUM(F483:G483)</f>
        <v>25000000</v>
      </c>
    </row>
    <row r="484" spans="1:8" ht="15.75">
      <c r="A484" s="65" t="s">
        <v>480</v>
      </c>
      <c r="B484" s="62" t="s">
        <v>104</v>
      </c>
      <c r="C484" s="62" t="s">
        <v>478</v>
      </c>
      <c r="D484" s="63" t="s">
        <v>481</v>
      </c>
      <c r="E484" s="63"/>
      <c r="F484" s="66">
        <f t="shared" si="1"/>
        <v>25000000</v>
      </c>
      <c r="G484" s="66">
        <f t="shared" si="2"/>
        <v>0</v>
      </c>
      <c r="H484" s="64">
        <f>SUM(F484:G484)</f>
        <v>25000000</v>
      </c>
    </row>
    <row r="485" spans="1:8" ht="15.75">
      <c r="A485" s="65" t="s">
        <v>482</v>
      </c>
      <c r="B485" s="62" t="s">
        <v>104</v>
      </c>
      <c r="C485" s="62" t="s">
        <v>478</v>
      </c>
      <c r="D485" s="63" t="s">
        <v>481</v>
      </c>
      <c r="E485" s="63">
        <v>700</v>
      </c>
      <c r="F485" s="66">
        <f t="shared" si="1"/>
        <v>25000000</v>
      </c>
      <c r="G485" s="66">
        <f t="shared" si="2"/>
        <v>0</v>
      </c>
      <c r="H485" s="64">
        <f>SUM(F485:G485)</f>
        <v>25000000</v>
      </c>
    </row>
    <row r="486" spans="1:8" ht="15.75">
      <c r="A486" s="65" t="s">
        <v>483</v>
      </c>
      <c r="B486" s="62" t="s">
        <v>104</v>
      </c>
      <c r="C486" s="62" t="s">
        <v>478</v>
      </c>
      <c r="D486" s="63" t="s">
        <v>481</v>
      </c>
      <c r="E486" s="63">
        <v>730</v>
      </c>
      <c r="F486" s="66">
        <v>25000000</v>
      </c>
      <c r="G486" s="66">
        <v>0</v>
      </c>
      <c r="H486" s="64">
        <f>SUM(F486:G486)</f>
        <v>25000000</v>
      </c>
    </row>
    <row r="487" spans="1:8" ht="47.25">
      <c r="A487" s="111" t="s">
        <v>484</v>
      </c>
      <c r="B487" s="87" t="s">
        <v>104</v>
      </c>
      <c r="C487" s="53" t="s">
        <v>485</v>
      </c>
      <c r="D487" s="97"/>
      <c r="E487" s="97"/>
      <c r="F487" s="88">
        <f aca="true" t="shared" si="3" ref="F487:F492">F488</f>
        <v>32100006</v>
      </c>
      <c r="G487" s="88">
        <f aca="true" t="shared" si="4" ref="G487:G492">G488</f>
        <v>0</v>
      </c>
      <c r="H487" s="54">
        <f>SUM(F487:G487)</f>
        <v>32100006</v>
      </c>
    </row>
    <row r="488" spans="1:8" ht="15.75">
      <c r="A488" s="70" t="s">
        <v>486</v>
      </c>
      <c r="B488" s="56" t="s">
        <v>104</v>
      </c>
      <c r="C488" s="57" t="s">
        <v>487</v>
      </c>
      <c r="D488" s="71"/>
      <c r="E488" s="71"/>
      <c r="F488" s="72">
        <f t="shared" si="3"/>
        <v>32100006</v>
      </c>
      <c r="G488" s="72">
        <f t="shared" si="4"/>
        <v>0</v>
      </c>
      <c r="H488" s="58">
        <f>SUM(F488:G488)</f>
        <v>32100006</v>
      </c>
    </row>
    <row r="489" spans="1:8" ht="15.75">
      <c r="A489" s="60" t="s">
        <v>109</v>
      </c>
      <c r="B489" s="61" t="s">
        <v>104</v>
      </c>
      <c r="C489" s="62" t="s">
        <v>487</v>
      </c>
      <c r="D489" s="63" t="s">
        <v>110</v>
      </c>
      <c r="E489" s="63"/>
      <c r="F489" s="66">
        <f t="shared" si="3"/>
        <v>32100006</v>
      </c>
      <c r="G489" s="66">
        <f t="shared" si="4"/>
        <v>0</v>
      </c>
      <c r="H489" s="64">
        <f>SUM(F489:G489)</f>
        <v>32100006</v>
      </c>
    </row>
    <row r="490" spans="1:8" ht="47.25">
      <c r="A490" s="68" t="s">
        <v>488</v>
      </c>
      <c r="B490" s="61" t="s">
        <v>104</v>
      </c>
      <c r="C490" s="62" t="s">
        <v>487</v>
      </c>
      <c r="D490" s="63" t="s">
        <v>489</v>
      </c>
      <c r="E490" s="63"/>
      <c r="F490" s="66">
        <f t="shared" si="3"/>
        <v>32100006</v>
      </c>
      <c r="G490" s="66">
        <f t="shared" si="4"/>
        <v>0</v>
      </c>
      <c r="H490" s="64">
        <f>SUM(F490:G490)</f>
        <v>32100006</v>
      </c>
    </row>
    <row r="491" spans="1:8" ht="32.25" customHeight="1">
      <c r="A491" s="68" t="s">
        <v>490</v>
      </c>
      <c r="B491" s="61" t="s">
        <v>104</v>
      </c>
      <c r="C491" s="62" t="s">
        <v>487</v>
      </c>
      <c r="D491" s="63" t="s">
        <v>491</v>
      </c>
      <c r="E491" s="63"/>
      <c r="F491" s="66">
        <f t="shared" si="3"/>
        <v>32100006</v>
      </c>
      <c r="G491" s="66">
        <f t="shared" si="4"/>
        <v>0</v>
      </c>
      <c r="H491" s="64">
        <f>SUM(F491:G491)</f>
        <v>32100006</v>
      </c>
    </row>
    <row r="492" spans="1:8" ht="15.75">
      <c r="A492" s="68" t="s">
        <v>492</v>
      </c>
      <c r="B492" s="61" t="s">
        <v>104</v>
      </c>
      <c r="C492" s="62" t="s">
        <v>487</v>
      </c>
      <c r="D492" s="63" t="s">
        <v>491</v>
      </c>
      <c r="E492" s="63">
        <v>500</v>
      </c>
      <c r="F492" s="66">
        <f t="shared" si="3"/>
        <v>32100006</v>
      </c>
      <c r="G492" s="66">
        <f t="shared" si="4"/>
        <v>0</v>
      </c>
      <c r="H492" s="64">
        <f>SUM(F492:G492)</f>
        <v>32100006</v>
      </c>
    </row>
    <row r="493" spans="1:8" ht="15.75">
      <c r="A493" s="68" t="s">
        <v>493</v>
      </c>
      <c r="B493" s="61" t="s">
        <v>104</v>
      </c>
      <c r="C493" s="62" t="s">
        <v>487</v>
      </c>
      <c r="D493" s="63" t="s">
        <v>491</v>
      </c>
      <c r="E493" s="63">
        <v>540</v>
      </c>
      <c r="F493" s="66">
        <v>32100006</v>
      </c>
      <c r="G493" s="66">
        <v>0</v>
      </c>
      <c r="H493" s="64">
        <f>SUM(F493:G493)</f>
        <v>32100006</v>
      </c>
    </row>
    <row r="494" spans="1:8" ht="31.5">
      <c r="A494" s="111" t="s">
        <v>494</v>
      </c>
      <c r="B494" s="47" t="s">
        <v>495</v>
      </c>
      <c r="C494" s="62"/>
      <c r="D494" s="63"/>
      <c r="E494" s="63"/>
      <c r="F494" s="88">
        <f>F495</f>
        <v>25269500</v>
      </c>
      <c r="G494" s="88">
        <f>G495</f>
        <v>2000000</v>
      </c>
      <c r="H494" s="54">
        <f>SUM(F494:G494)</f>
        <v>27269500</v>
      </c>
    </row>
    <row r="495" spans="1:8" ht="21.75" customHeight="1">
      <c r="A495" s="52" t="s">
        <v>105</v>
      </c>
      <c r="B495" s="47" t="s">
        <v>495</v>
      </c>
      <c r="C495" s="53" t="s">
        <v>106</v>
      </c>
      <c r="D495" s="63"/>
      <c r="E495" s="63"/>
      <c r="F495" s="88">
        <f>F496</f>
        <v>25269500</v>
      </c>
      <c r="G495" s="88">
        <f>G496</f>
        <v>2000000</v>
      </c>
      <c r="H495" s="54">
        <f>SUM(F495:G495)</f>
        <v>27269500</v>
      </c>
    </row>
    <row r="496" spans="1:8" s="85" customFormat="1" ht="61.5" customHeight="1">
      <c r="A496" s="70" t="s">
        <v>107</v>
      </c>
      <c r="B496" s="56" t="s">
        <v>495</v>
      </c>
      <c r="C496" s="57" t="s">
        <v>108</v>
      </c>
      <c r="D496" s="112"/>
      <c r="E496" s="112"/>
      <c r="F496" s="72">
        <f>F497</f>
        <v>25269500</v>
      </c>
      <c r="G496" s="72">
        <f>G497</f>
        <v>2000000</v>
      </c>
      <c r="H496" s="58">
        <f>SUM(F496:G496)</f>
        <v>27269500</v>
      </c>
    </row>
    <row r="497" spans="1:8" s="85" customFormat="1" ht="23.25" customHeight="1">
      <c r="A497" s="68" t="s">
        <v>109</v>
      </c>
      <c r="B497" s="61" t="s">
        <v>495</v>
      </c>
      <c r="C497" s="62" t="s">
        <v>108</v>
      </c>
      <c r="D497" s="63" t="s">
        <v>110</v>
      </c>
      <c r="E497" s="112"/>
      <c r="F497" s="66">
        <f>F498</f>
        <v>25269500</v>
      </c>
      <c r="G497" s="66">
        <f>G498</f>
        <v>2000000</v>
      </c>
      <c r="H497" s="64">
        <f>SUM(F497:G497)</f>
        <v>27269500</v>
      </c>
    </row>
    <row r="498" spans="1:8" s="85" customFormat="1" ht="26.25" customHeight="1">
      <c r="A498" s="68" t="s">
        <v>111</v>
      </c>
      <c r="B498" s="61" t="s">
        <v>495</v>
      </c>
      <c r="C498" s="62" t="s">
        <v>108</v>
      </c>
      <c r="D498" s="63" t="s">
        <v>112</v>
      </c>
      <c r="E498" s="112"/>
      <c r="F498" s="66">
        <f>F499</f>
        <v>25269500</v>
      </c>
      <c r="G498" s="66">
        <f>G499</f>
        <v>2000000</v>
      </c>
      <c r="H498" s="64">
        <f>SUM(F498:G498)</f>
        <v>27269500</v>
      </c>
    </row>
    <row r="499" spans="1:8" ht="36.75" customHeight="1">
      <c r="A499" s="68" t="s">
        <v>496</v>
      </c>
      <c r="B499" s="61" t="s">
        <v>495</v>
      </c>
      <c r="C499" s="62" t="s">
        <v>108</v>
      </c>
      <c r="D499" s="63" t="s">
        <v>497</v>
      </c>
      <c r="E499" s="63"/>
      <c r="F499" s="66">
        <f>F500+F502+F504</f>
        <v>25269500</v>
      </c>
      <c r="G499" s="66">
        <f>G500+G502+G504</f>
        <v>2000000</v>
      </c>
      <c r="H499" s="64">
        <f>SUM(F499:G499)</f>
        <v>27269500</v>
      </c>
    </row>
    <row r="500" spans="1:8" ht="66" customHeight="1">
      <c r="A500" s="67" t="s">
        <v>115</v>
      </c>
      <c r="B500" s="61" t="s">
        <v>495</v>
      </c>
      <c r="C500" s="62" t="s">
        <v>108</v>
      </c>
      <c r="D500" s="63" t="s">
        <v>497</v>
      </c>
      <c r="E500" s="63">
        <v>100</v>
      </c>
      <c r="F500" s="66">
        <f>F501</f>
        <v>17256000</v>
      </c>
      <c r="G500" s="66">
        <f>G501</f>
        <v>0</v>
      </c>
      <c r="H500" s="64">
        <f>SUM(F500:G500)</f>
        <v>17256000</v>
      </c>
    </row>
    <row r="501" spans="1:8" ht="31.5">
      <c r="A501" s="67" t="s">
        <v>117</v>
      </c>
      <c r="B501" s="61" t="s">
        <v>495</v>
      </c>
      <c r="C501" s="62" t="s">
        <v>108</v>
      </c>
      <c r="D501" s="63" t="s">
        <v>497</v>
      </c>
      <c r="E501" s="63">
        <v>120</v>
      </c>
      <c r="F501" s="66">
        <v>17256000</v>
      </c>
      <c r="G501" s="66">
        <v>0</v>
      </c>
      <c r="H501" s="64">
        <f>SUM(F501:G501)</f>
        <v>17256000</v>
      </c>
    </row>
    <row r="502" spans="1:8" ht="31.5">
      <c r="A502" s="68" t="s">
        <v>121</v>
      </c>
      <c r="B502" s="61" t="s">
        <v>495</v>
      </c>
      <c r="C502" s="62" t="s">
        <v>108</v>
      </c>
      <c r="D502" s="63" t="s">
        <v>497</v>
      </c>
      <c r="E502" s="63">
        <v>200</v>
      </c>
      <c r="F502" s="66">
        <f>F503</f>
        <v>8000000</v>
      </c>
      <c r="G502" s="66">
        <f>G503</f>
        <v>2000000</v>
      </c>
      <c r="H502" s="64">
        <f>SUM(F502:G502)</f>
        <v>10000000</v>
      </c>
    </row>
    <row r="503" spans="1:8" ht="31.5">
      <c r="A503" s="68" t="s">
        <v>123</v>
      </c>
      <c r="B503" s="61" t="s">
        <v>495</v>
      </c>
      <c r="C503" s="62" t="s">
        <v>108</v>
      </c>
      <c r="D503" s="63" t="s">
        <v>497</v>
      </c>
      <c r="E503" s="63">
        <v>240</v>
      </c>
      <c r="F503" s="66">
        <v>8000000</v>
      </c>
      <c r="G503" s="66">
        <v>2000000</v>
      </c>
      <c r="H503" s="64">
        <f>SUM(F503:G503)</f>
        <v>10000000</v>
      </c>
    </row>
    <row r="504" spans="1:8" ht="15.75">
      <c r="A504" s="68" t="s">
        <v>129</v>
      </c>
      <c r="B504" s="61" t="s">
        <v>495</v>
      </c>
      <c r="C504" s="62" t="s">
        <v>108</v>
      </c>
      <c r="D504" s="63" t="s">
        <v>497</v>
      </c>
      <c r="E504" s="63">
        <v>800</v>
      </c>
      <c r="F504" s="66">
        <f>F505</f>
        <v>13500</v>
      </c>
      <c r="G504" s="66">
        <f>G505</f>
        <v>0</v>
      </c>
      <c r="H504" s="64">
        <f>SUM(F504:G504)</f>
        <v>13500</v>
      </c>
    </row>
    <row r="505" spans="1:8" ht="15.75">
      <c r="A505" s="68" t="s">
        <v>131</v>
      </c>
      <c r="B505" s="61" t="s">
        <v>495</v>
      </c>
      <c r="C505" s="62" t="s">
        <v>108</v>
      </c>
      <c r="D505" s="63" t="s">
        <v>497</v>
      </c>
      <c r="E505" s="63">
        <v>850</v>
      </c>
      <c r="F505" s="66">
        <v>13500</v>
      </c>
      <c r="G505" s="66">
        <v>0</v>
      </c>
      <c r="H505" s="64">
        <f>SUM(F505:G505)</f>
        <v>13500</v>
      </c>
    </row>
    <row r="506" spans="1:8" ht="33">
      <c r="A506" s="46" t="s">
        <v>498</v>
      </c>
      <c r="B506" s="48" t="s">
        <v>499</v>
      </c>
      <c r="C506" s="62"/>
      <c r="D506" s="63"/>
      <c r="E506" s="63"/>
      <c r="F506" s="113">
        <f>F507</f>
        <v>41260000</v>
      </c>
      <c r="G506" s="113">
        <f>G507</f>
        <v>0</v>
      </c>
      <c r="H506" s="54">
        <f>SUM(F506:G506)</f>
        <v>41260000</v>
      </c>
    </row>
    <row r="507" spans="1:8" ht="15.75">
      <c r="A507" s="52" t="s">
        <v>105</v>
      </c>
      <c r="B507" s="53" t="s">
        <v>499</v>
      </c>
      <c r="C507" s="53" t="s">
        <v>106</v>
      </c>
      <c r="D507" s="63"/>
      <c r="E507" s="63"/>
      <c r="F507" s="88">
        <f>SUM(F508,F518)</f>
        <v>41260000</v>
      </c>
      <c r="G507" s="88">
        <f>SUM(G508,G518)</f>
        <v>0</v>
      </c>
      <c r="H507" s="54">
        <f>SUM(F507:G507)</f>
        <v>41260000</v>
      </c>
    </row>
    <row r="508" spans="1:8" ht="47.25">
      <c r="A508" s="55" t="s">
        <v>500</v>
      </c>
      <c r="B508" s="57" t="s">
        <v>499</v>
      </c>
      <c r="C508" s="57" t="s">
        <v>501</v>
      </c>
      <c r="D508" s="63"/>
      <c r="E508" s="63"/>
      <c r="F508" s="72">
        <f>F509</f>
        <v>31260000</v>
      </c>
      <c r="G508" s="72">
        <f>G509</f>
        <v>0</v>
      </c>
      <c r="H508" s="58">
        <f>SUM(F508:G508)</f>
        <v>31260000</v>
      </c>
    </row>
    <row r="509" spans="1:8" s="33" customFormat="1" ht="15.75">
      <c r="A509" s="60" t="s">
        <v>109</v>
      </c>
      <c r="B509" s="61" t="s">
        <v>499</v>
      </c>
      <c r="C509" s="62" t="s">
        <v>501</v>
      </c>
      <c r="D509" s="63" t="s">
        <v>110</v>
      </c>
      <c r="E509" s="57"/>
      <c r="F509" s="64">
        <f>F510</f>
        <v>31260000</v>
      </c>
      <c r="G509" s="64">
        <f>G510</f>
        <v>0</v>
      </c>
      <c r="H509" s="64">
        <f>SUM(F509:G509)</f>
        <v>31260000</v>
      </c>
    </row>
    <row r="510" spans="1:9" s="45" customFormat="1" ht="31.5">
      <c r="A510" s="65" t="s">
        <v>111</v>
      </c>
      <c r="B510" s="61" t="s">
        <v>499</v>
      </c>
      <c r="C510" s="62" t="s">
        <v>501</v>
      </c>
      <c r="D510" s="63" t="s">
        <v>112</v>
      </c>
      <c r="E510" s="63"/>
      <c r="F510" s="66">
        <f>F511</f>
        <v>31260000</v>
      </c>
      <c r="G510" s="66">
        <f>G511</f>
        <v>0</v>
      </c>
      <c r="H510" s="64">
        <f>SUM(F510:G510)</f>
        <v>31260000</v>
      </c>
      <c r="I510" s="33"/>
    </row>
    <row r="511" spans="1:9" s="45" customFormat="1" ht="31.5">
      <c r="A511" s="65" t="s">
        <v>502</v>
      </c>
      <c r="B511" s="61" t="s">
        <v>499</v>
      </c>
      <c r="C511" s="62" t="s">
        <v>501</v>
      </c>
      <c r="D511" s="63" t="s">
        <v>503</v>
      </c>
      <c r="E511" s="63"/>
      <c r="F511" s="66">
        <f>SUM(F512,F514,F516)</f>
        <v>31260000</v>
      </c>
      <c r="G511" s="66">
        <f>SUM(G512,G514,G516)</f>
        <v>0</v>
      </c>
      <c r="H511" s="64">
        <f>SUM(F511:G511)</f>
        <v>31260000</v>
      </c>
      <c r="I511" s="33"/>
    </row>
    <row r="512" spans="1:9" s="45" customFormat="1" ht="70.5" customHeight="1">
      <c r="A512" s="67" t="s">
        <v>115</v>
      </c>
      <c r="B512" s="61" t="s">
        <v>499</v>
      </c>
      <c r="C512" s="62" t="s">
        <v>501</v>
      </c>
      <c r="D512" s="63" t="s">
        <v>503</v>
      </c>
      <c r="E512" s="62" t="s">
        <v>116</v>
      </c>
      <c r="F512" s="66">
        <f>F513</f>
        <v>27500000</v>
      </c>
      <c r="G512" s="66">
        <f>G513</f>
        <v>0</v>
      </c>
      <c r="H512" s="64">
        <f>SUM(F512:G512)</f>
        <v>27500000</v>
      </c>
      <c r="I512" s="33"/>
    </row>
    <row r="513" spans="1:8" s="33" customFormat="1" ht="31.5">
      <c r="A513" s="67" t="s">
        <v>117</v>
      </c>
      <c r="B513" s="61" t="s">
        <v>499</v>
      </c>
      <c r="C513" s="62" t="s">
        <v>501</v>
      </c>
      <c r="D513" s="63" t="s">
        <v>503</v>
      </c>
      <c r="E513" s="62" t="s">
        <v>118</v>
      </c>
      <c r="F513" s="66">
        <v>27500000</v>
      </c>
      <c r="G513" s="66">
        <v>0</v>
      </c>
      <c r="H513" s="64">
        <f>SUM(F513:G513)</f>
        <v>27500000</v>
      </c>
    </row>
    <row r="514" spans="1:8" s="33" customFormat="1" ht="31.5">
      <c r="A514" s="68" t="s">
        <v>121</v>
      </c>
      <c r="B514" s="61" t="s">
        <v>499</v>
      </c>
      <c r="C514" s="62" t="s">
        <v>501</v>
      </c>
      <c r="D514" s="63" t="s">
        <v>503</v>
      </c>
      <c r="E514" s="62" t="s">
        <v>122</v>
      </c>
      <c r="F514" s="66">
        <f>F515</f>
        <v>3700000</v>
      </c>
      <c r="G514" s="66">
        <f>G515</f>
        <v>0</v>
      </c>
      <c r="H514" s="64">
        <f>SUM(F514:G514)</f>
        <v>3700000</v>
      </c>
    </row>
    <row r="515" spans="1:9" s="45" customFormat="1" ht="31.5">
      <c r="A515" s="68" t="s">
        <v>123</v>
      </c>
      <c r="B515" s="61" t="s">
        <v>499</v>
      </c>
      <c r="C515" s="62" t="s">
        <v>501</v>
      </c>
      <c r="D515" s="63" t="s">
        <v>503</v>
      </c>
      <c r="E515" s="62" t="s">
        <v>124</v>
      </c>
      <c r="F515" s="66">
        <v>3700000</v>
      </c>
      <c r="G515" s="66">
        <v>0</v>
      </c>
      <c r="H515" s="64">
        <f>SUM(F515:G515)</f>
        <v>3700000</v>
      </c>
      <c r="I515" s="33"/>
    </row>
    <row r="516" spans="1:9" s="45" customFormat="1" ht="15.75">
      <c r="A516" s="68" t="s">
        <v>129</v>
      </c>
      <c r="B516" s="61" t="s">
        <v>499</v>
      </c>
      <c r="C516" s="62" t="s">
        <v>501</v>
      </c>
      <c r="D516" s="63" t="s">
        <v>503</v>
      </c>
      <c r="E516" s="62" t="s">
        <v>130</v>
      </c>
      <c r="F516" s="66">
        <f>F517</f>
        <v>60000</v>
      </c>
      <c r="G516" s="66">
        <f>G517</f>
        <v>0</v>
      </c>
      <c r="H516" s="64">
        <f>SUM(F516:G516)</f>
        <v>60000</v>
      </c>
      <c r="I516" s="33"/>
    </row>
    <row r="517" spans="1:8" s="33" customFormat="1" ht="15.75">
      <c r="A517" s="68" t="s">
        <v>131</v>
      </c>
      <c r="B517" s="61" t="s">
        <v>499</v>
      </c>
      <c r="C517" s="62" t="s">
        <v>501</v>
      </c>
      <c r="D517" s="63" t="s">
        <v>503</v>
      </c>
      <c r="E517" s="62" t="s">
        <v>132</v>
      </c>
      <c r="F517" s="66">
        <v>60000</v>
      </c>
      <c r="G517" s="66">
        <v>0</v>
      </c>
      <c r="H517" s="64">
        <f>SUM(F517:G517)</f>
        <v>60000</v>
      </c>
    </row>
    <row r="518" spans="1:8" s="33" customFormat="1" ht="15.75">
      <c r="A518" s="55" t="s">
        <v>504</v>
      </c>
      <c r="B518" s="57" t="s">
        <v>499</v>
      </c>
      <c r="C518" s="57" t="s">
        <v>505</v>
      </c>
      <c r="D518" s="63"/>
      <c r="E518" s="63"/>
      <c r="F518" s="72">
        <f>F519</f>
        <v>10000000</v>
      </c>
      <c r="G518" s="72">
        <f>G519</f>
        <v>0</v>
      </c>
      <c r="H518" s="58">
        <f>SUM(F518:G518)</f>
        <v>10000000</v>
      </c>
    </row>
    <row r="519" spans="1:9" s="45" customFormat="1" ht="15.75">
      <c r="A519" s="60" t="s">
        <v>109</v>
      </c>
      <c r="B519" s="62" t="s">
        <v>499</v>
      </c>
      <c r="C519" s="62" t="s">
        <v>505</v>
      </c>
      <c r="D519" s="63" t="s">
        <v>110</v>
      </c>
      <c r="E519" s="63"/>
      <c r="F519" s="66">
        <f>F520</f>
        <v>10000000</v>
      </c>
      <c r="G519" s="66">
        <f>G520</f>
        <v>0</v>
      </c>
      <c r="H519" s="64">
        <f>SUM(F519:G519)</f>
        <v>10000000</v>
      </c>
      <c r="I519" s="33"/>
    </row>
    <row r="520" spans="1:9" s="45" customFormat="1" ht="15.75">
      <c r="A520" s="65" t="s">
        <v>506</v>
      </c>
      <c r="B520" s="62" t="s">
        <v>499</v>
      </c>
      <c r="C520" s="62" t="s">
        <v>505</v>
      </c>
      <c r="D520" s="63" t="s">
        <v>507</v>
      </c>
      <c r="E520" s="63"/>
      <c r="F520" s="66">
        <f>SUM(F521,F524)</f>
        <v>10000000</v>
      </c>
      <c r="G520" s="66">
        <f>SUM(G521,G524)</f>
        <v>0</v>
      </c>
      <c r="H520" s="64">
        <f>SUM(F520:G520)</f>
        <v>10000000</v>
      </c>
      <c r="I520" s="33"/>
    </row>
    <row r="521" spans="1:9" s="45" customFormat="1" ht="15.75">
      <c r="A521" s="65" t="s">
        <v>508</v>
      </c>
      <c r="B521" s="62" t="s">
        <v>499</v>
      </c>
      <c r="C521" s="62" t="s">
        <v>505</v>
      </c>
      <c r="D521" s="63" t="s">
        <v>509</v>
      </c>
      <c r="E521" s="63"/>
      <c r="F521" s="66">
        <f>F522</f>
        <v>7200000</v>
      </c>
      <c r="G521" s="66">
        <f>G522</f>
        <v>0</v>
      </c>
      <c r="H521" s="64">
        <f>SUM(F521:G521)</f>
        <v>7200000</v>
      </c>
      <c r="I521" s="33"/>
    </row>
    <row r="522" spans="1:9" s="45" customFormat="1" ht="15.75">
      <c r="A522" s="68" t="s">
        <v>129</v>
      </c>
      <c r="B522" s="62" t="s">
        <v>499</v>
      </c>
      <c r="C522" s="62" t="s">
        <v>505</v>
      </c>
      <c r="D522" s="63" t="s">
        <v>509</v>
      </c>
      <c r="E522" s="63">
        <v>800</v>
      </c>
      <c r="F522" s="66">
        <f>F523</f>
        <v>7200000</v>
      </c>
      <c r="G522" s="66">
        <f>G523</f>
        <v>0</v>
      </c>
      <c r="H522" s="64">
        <f>SUM(F522:G522)</f>
        <v>7200000</v>
      </c>
      <c r="I522" s="33"/>
    </row>
    <row r="523" spans="1:9" s="45" customFormat="1" ht="15.75">
      <c r="A523" s="65" t="s">
        <v>510</v>
      </c>
      <c r="B523" s="62" t="s">
        <v>499</v>
      </c>
      <c r="C523" s="62" t="s">
        <v>505</v>
      </c>
      <c r="D523" s="63" t="s">
        <v>509</v>
      </c>
      <c r="E523" s="63">
        <v>870</v>
      </c>
      <c r="F523" s="66">
        <v>7200000</v>
      </c>
      <c r="G523" s="66">
        <v>0</v>
      </c>
      <c r="H523" s="64">
        <f>SUM(F523:G523)</f>
        <v>7200000</v>
      </c>
      <c r="I523" s="33"/>
    </row>
    <row r="524" spans="1:9" s="45" customFormat="1" ht="47.25">
      <c r="A524" s="65" t="s">
        <v>511</v>
      </c>
      <c r="B524" s="62" t="s">
        <v>499</v>
      </c>
      <c r="C524" s="62" t="s">
        <v>505</v>
      </c>
      <c r="D524" s="63" t="s">
        <v>512</v>
      </c>
      <c r="E524" s="63"/>
      <c r="F524" s="66">
        <f>F525</f>
        <v>2800000</v>
      </c>
      <c r="G524" s="66">
        <f>G525</f>
        <v>0</v>
      </c>
      <c r="H524" s="64">
        <f>SUM(F524:G524)</f>
        <v>2800000</v>
      </c>
      <c r="I524" s="33"/>
    </row>
    <row r="525" spans="1:9" s="45" customFormat="1" ht="15.75">
      <c r="A525" s="68" t="s">
        <v>129</v>
      </c>
      <c r="B525" s="62" t="s">
        <v>499</v>
      </c>
      <c r="C525" s="62" t="s">
        <v>505</v>
      </c>
      <c r="D525" s="63" t="s">
        <v>512</v>
      </c>
      <c r="E525" s="63">
        <v>800</v>
      </c>
      <c r="F525" s="66">
        <f>F526</f>
        <v>2800000</v>
      </c>
      <c r="G525" s="66">
        <f>G526</f>
        <v>0</v>
      </c>
      <c r="H525" s="64">
        <f>SUM(F525:G525)</f>
        <v>2800000</v>
      </c>
      <c r="I525" s="33"/>
    </row>
    <row r="526" spans="1:9" s="45" customFormat="1" ht="15.75">
      <c r="A526" s="65" t="s">
        <v>510</v>
      </c>
      <c r="B526" s="62" t="s">
        <v>499</v>
      </c>
      <c r="C526" s="62" t="s">
        <v>505</v>
      </c>
      <c r="D526" s="63" t="s">
        <v>512</v>
      </c>
      <c r="E526" s="63">
        <v>870</v>
      </c>
      <c r="F526" s="66">
        <v>2800000</v>
      </c>
      <c r="G526" s="66">
        <v>0</v>
      </c>
      <c r="H526" s="64">
        <f>SUM(F526:G526)</f>
        <v>2800000</v>
      </c>
      <c r="I526" s="33"/>
    </row>
    <row r="527" spans="1:8" s="33" customFormat="1" ht="33">
      <c r="A527" s="46" t="s">
        <v>513</v>
      </c>
      <c r="B527" s="48" t="s">
        <v>514</v>
      </c>
      <c r="C527" s="114"/>
      <c r="D527" s="63"/>
      <c r="E527" s="63"/>
      <c r="F527" s="113">
        <f>SUM(F528,F554)</f>
        <v>400076934</v>
      </c>
      <c r="G527" s="113">
        <f>SUM(G528,G554)</f>
        <v>0</v>
      </c>
      <c r="H527" s="54">
        <f>SUM(F527:G527)</f>
        <v>400076934</v>
      </c>
    </row>
    <row r="528" spans="1:8" s="33" customFormat="1" ht="15.75">
      <c r="A528" s="52" t="s">
        <v>424</v>
      </c>
      <c r="B528" s="53" t="s">
        <v>514</v>
      </c>
      <c r="C528" s="53" t="s">
        <v>425</v>
      </c>
      <c r="D528" s="63"/>
      <c r="E528" s="63"/>
      <c r="F528" s="88">
        <f>SUM(F541,F529)</f>
        <v>143450783</v>
      </c>
      <c r="G528" s="88">
        <f>SUM(G541,G529)</f>
        <v>0</v>
      </c>
      <c r="H528" s="54">
        <f>SUM(F528:G528)</f>
        <v>143450783</v>
      </c>
    </row>
    <row r="529" spans="1:8" s="33" customFormat="1" ht="15.75">
      <c r="A529" s="55" t="s">
        <v>515</v>
      </c>
      <c r="B529" s="57" t="s">
        <v>514</v>
      </c>
      <c r="C529" s="57" t="s">
        <v>516</v>
      </c>
      <c r="D529" s="71"/>
      <c r="E529" s="71"/>
      <c r="F529" s="72">
        <f>F530</f>
        <v>134700783</v>
      </c>
      <c r="G529" s="72">
        <f>G530</f>
        <v>0</v>
      </c>
      <c r="H529" s="58">
        <f>SUM(F529:G529)</f>
        <v>134700783</v>
      </c>
    </row>
    <row r="530" spans="1:8" s="33" customFormat="1" ht="31.5">
      <c r="A530" s="65" t="s">
        <v>517</v>
      </c>
      <c r="B530" s="62" t="s">
        <v>514</v>
      </c>
      <c r="C530" s="62" t="s">
        <v>516</v>
      </c>
      <c r="D530" s="63" t="s">
        <v>518</v>
      </c>
      <c r="E530" s="63"/>
      <c r="F530" s="66">
        <f>F531</f>
        <v>134700783</v>
      </c>
      <c r="G530" s="66">
        <f>G531</f>
        <v>0</v>
      </c>
      <c r="H530" s="64">
        <f>SUM(F530:G530)</f>
        <v>134700783</v>
      </c>
    </row>
    <row r="531" spans="1:9" s="45" customFormat="1" ht="47.25">
      <c r="A531" s="83" t="s">
        <v>519</v>
      </c>
      <c r="B531" s="62" t="s">
        <v>514</v>
      </c>
      <c r="C531" s="62" t="s">
        <v>516</v>
      </c>
      <c r="D531" s="63" t="s">
        <v>520</v>
      </c>
      <c r="E531" s="63"/>
      <c r="F531" s="66">
        <f>SUM(F532,F535,F538)</f>
        <v>134700783</v>
      </c>
      <c r="G531" s="66">
        <f>SUM(G532,G535,G538)</f>
        <v>0</v>
      </c>
      <c r="H531" s="64">
        <f>SUM(F531:G531)</f>
        <v>134700783</v>
      </c>
      <c r="I531" s="33"/>
    </row>
    <row r="532" spans="1:8" s="31" customFormat="1" ht="31.5">
      <c r="A532" s="83" t="s">
        <v>521</v>
      </c>
      <c r="B532" s="62" t="s">
        <v>514</v>
      </c>
      <c r="C532" s="62" t="s">
        <v>516</v>
      </c>
      <c r="D532" s="63" t="s">
        <v>522</v>
      </c>
      <c r="E532" s="63"/>
      <c r="F532" s="66">
        <f>F533</f>
        <v>120500000</v>
      </c>
      <c r="G532" s="66">
        <f>G533</f>
        <v>0</v>
      </c>
      <c r="H532" s="64">
        <f>SUM(F532:G532)</f>
        <v>120500000</v>
      </c>
    </row>
    <row r="533" spans="1:8" s="31" customFormat="1" ht="31.5">
      <c r="A533" s="65" t="s">
        <v>167</v>
      </c>
      <c r="B533" s="62" t="s">
        <v>514</v>
      </c>
      <c r="C533" s="62" t="s">
        <v>516</v>
      </c>
      <c r="D533" s="63" t="s">
        <v>522</v>
      </c>
      <c r="E533" s="63">
        <v>600</v>
      </c>
      <c r="F533" s="66">
        <f>F534</f>
        <v>120500000</v>
      </c>
      <c r="G533" s="66">
        <f>G534</f>
        <v>0</v>
      </c>
      <c r="H533" s="64">
        <f>SUM(F533:G533)</f>
        <v>120500000</v>
      </c>
    </row>
    <row r="534" spans="1:8" s="31" customFormat="1" ht="15.75">
      <c r="A534" s="65" t="s">
        <v>168</v>
      </c>
      <c r="B534" s="62" t="s">
        <v>514</v>
      </c>
      <c r="C534" s="62" t="s">
        <v>516</v>
      </c>
      <c r="D534" s="63" t="s">
        <v>522</v>
      </c>
      <c r="E534" s="63">
        <v>610</v>
      </c>
      <c r="F534" s="66">
        <f>120500000</f>
        <v>120500000</v>
      </c>
      <c r="G534" s="66">
        <v>0</v>
      </c>
      <c r="H534" s="64">
        <f>SUM(F534:G534)</f>
        <v>120500000</v>
      </c>
    </row>
    <row r="535" spans="1:9" s="45" customFormat="1" ht="47.25">
      <c r="A535" s="83" t="s">
        <v>523</v>
      </c>
      <c r="B535" s="62" t="s">
        <v>514</v>
      </c>
      <c r="C535" s="62" t="s">
        <v>516</v>
      </c>
      <c r="D535" s="63" t="s">
        <v>524</v>
      </c>
      <c r="E535" s="63"/>
      <c r="F535" s="66">
        <f>F536</f>
        <v>831537.7</v>
      </c>
      <c r="G535" s="66">
        <f>G536</f>
        <v>0.04</v>
      </c>
      <c r="H535" s="64">
        <f>SUM(F535:G535)</f>
        <v>831537.74</v>
      </c>
      <c r="I535" s="33"/>
    </row>
    <row r="536" spans="1:9" s="45" customFormat="1" ht="31.5">
      <c r="A536" s="65" t="s">
        <v>167</v>
      </c>
      <c r="B536" s="62" t="s">
        <v>514</v>
      </c>
      <c r="C536" s="62" t="s">
        <v>516</v>
      </c>
      <c r="D536" s="63" t="s">
        <v>524</v>
      </c>
      <c r="E536" s="63">
        <v>600</v>
      </c>
      <c r="F536" s="66">
        <f>F537</f>
        <v>831537.7</v>
      </c>
      <c r="G536" s="66">
        <f>G537</f>
        <v>0.04</v>
      </c>
      <c r="H536" s="64">
        <f>SUM(F536:G536)</f>
        <v>831537.74</v>
      </c>
      <c r="I536" s="33"/>
    </row>
    <row r="537" spans="1:9" s="45" customFormat="1" ht="15.75">
      <c r="A537" s="65" t="s">
        <v>168</v>
      </c>
      <c r="B537" s="62" t="s">
        <v>514</v>
      </c>
      <c r="C537" s="62" t="s">
        <v>516</v>
      </c>
      <c r="D537" s="63" t="s">
        <v>524</v>
      </c>
      <c r="E537" s="63">
        <v>610</v>
      </c>
      <c r="F537" s="66">
        <f>1500000-668462.3</f>
        <v>831537.7</v>
      </c>
      <c r="G537" s="66">
        <v>0.04</v>
      </c>
      <c r="H537" s="64">
        <f>SUM(F537:G537)</f>
        <v>831537.74</v>
      </c>
      <c r="I537" s="33"/>
    </row>
    <row r="538" spans="1:9" s="45" customFormat="1" ht="110.25">
      <c r="A538" s="115" t="s">
        <v>525</v>
      </c>
      <c r="B538" s="62" t="s">
        <v>514</v>
      </c>
      <c r="C538" s="62" t="s">
        <v>516</v>
      </c>
      <c r="D538" s="63" t="s">
        <v>526</v>
      </c>
      <c r="E538" s="63"/>
      <c r="F538" s="66">
        <f>F539</f>
        <v>13369245.3</v>
      </c>
      <c r="G538" s="66">
        <f>G539</f>
        <v>-0.04</v>
      </c>
      <c r="H538" s="64">
        <f>SUM(F538:G538)</f>
        <v>13369245.260000002</v>
      </c>
      <c r="I538" s="33"/>
    </row>
    <row r="539" spans="1:9" s="45" customFormat="1" ht="31.5">
      <c r="A539" s="116" t="s">
        <v>167</v>
      </c>
      <c r="B539" s="62" t="s">
        <v>514</v>
      </c>
      <c r="C539" s="62" t="s">
        <v>516</v>
      </c>
      <c r="D539" s="63" t="s">
        <v>526</v>
      </c>
      <c r="E539" s="63">
        <v>600</v>
      </c>
      <c r="F539" s="66">
        <f>F540</f>
        <v>13369245.3</v>
      </c>
      <c r="G539" s="66">
        <f>G540</f>
        <v>-0.04</v>
      </c>
      <c r="H539" s="64">
        <f>SUM(F539:G539)</f>
        <v>13369245.260000002</v>
      </c>
      <c r="I539" s="33"/>
    </row>
    <row r="540" spans="1:9" s="45" customFormat="1" ht="15.75">
      <c r="A540" s="116" t="s">
        <v>168</v>
      </c>
      <c r="B540" s="62" t="s">
        <v>514</v>
      </c>
      <c r="C540" s="62" t="s">
        <v>516</v>
      </c>
      <c r="D540" s="63" t="s">
        <v>526</v>
      </c>
      <c r="E540" s="63">
        <v>610</v>
      </c>
      <c r="F540" s="66">
        <f>12700783+668462.3</f>
        <v>13369245.3</v>
      </c>
      <c r="G540" s="66">
        <v>-0.04</v>
      </c>
      <c r="H540" s="64">
        <f>SUM(F540:G540)</f>
        <v>13369245.260000002</v>
      </c>
      <c r="I540" s="33"/>
    </row>
    <row r="541" spans="1:9" s="45" customFormat="1" ht="15.75">
      <c r="A541" s="55" t="s">
        <v>527</v>
      </c>
      <c r="B541" s="57" t="s">
        <v>514</v>
      </c>
      <c r="C541" s="57" t="s">
        <v>528</v>
      </c>
      <c r="D541" s="63"/>
      <c r="E541" s="63"/>
      <c r="F541" s="72">
        <f>F542+F549</f>
        <v>8750000</v>
      </c>
      <c r="G541" s="72">
        <f>G542+G549</f>
        <v>0</v>
      </c>
      <c r="H541" s="58">
        <f>SUM(F541:G541)</f>
        <v>8750000</v>
      </c>
      <c r="I541" s="33"/>
    </row>
    <row r="542" spans="1:9" s="45" customFormat="1" ht="15.75">
      <c r="A542" s="65" t="s">
        <v>529</v>
      </c>
      <c r="B542" s="62" t="s">
        <v>514</v>
      </c>
      <c r="C542" s="62" t="s">
        <v>528</v>
      </c>
      <c r="D542" s="63" t="s">
        <v>530</v>
      </c>
      <c r="E542" s="63"/>
      <c r="F542" s="66">
        <f>SUM(F543,F546)</f>
        <v>8600000</v>
      </c>
      <c r="G542" s="66">
        <f>SUM(G543,G546)</f>
        <v>0</v>
      </c>
      <c r="H542" s="64">
        <f>SUM(F542:G542)</f>
        <v>8600000</v>
      </c>
      <c r="I542" s="33"/>
    </row>
    <row r="543" spans="1:9" s="45" customFormat="1" ht="31.5">
      <c r="A543" s="65" t="s">
        <v>531</v>
      </c>
      <c r="B543" s="62" t="s">
        <v>514</v>
      </c>
      <c r="C543" s="62" t="s">
        <v>528</v>
      </c>
      <c r="D543" s="63" t="s">
        <v>532</v>
      </c>
      <c r="E543" s="63"/>
      <c r="F543" s="66">
        <f>F544</f>
        <v>650000</v>
      </c>
      <c r="G543" s="66">
        <f>G544</f>
        <v>0</v>
      </c>
      <c r="H543" s="64">
        <f>SUM(F543:G543)</f>
        <v>650000</v>
      </c>
      <c r="I543" s="33"/>
    </row>
    <row r="544" spans="1:9" s="45" customFormat="1" ht="31.5">
      <c r="A544" s="65" t="s">
        <v>167</v>
      </c>
      <c r="B544" s="62" t="s">
        <v>514</v>
      </c>
      <c r="C544" s="62" t="s">
        <v>528</v>
      </c>
      <c r="D544" s="63" t="s">
        <v>532</v>
      </c>
      <c r="E544" s="63">
        <v>600</v>
      </c>
      <c r="F544" s="66">
        <f>F545</f>
        <v>650000</v>
      </c>
      <c r="G544" s="66">
        <f>G545</f>
        <v>0</v>
      </c>
      <c r="H544" s="64">
        <f>SUM(F544:G544)</f>
        <v>650000</v>
      </c>
      <c r="I544" s="33"/>
    </row>
    <row r="545" spans="1:9" s="45" customFormat="1" ht="15.75">
      <c r="A545" s="65" t="s">
        <v>168</v>
      </c>
      <c r="B545" s="62" t="s">
        <v>514</v>
      </c>
      <c r="C545" s="62" t="s">
        <v>528</v>
      </c>
      <c r="D545" s="63" t="s">
        <v>532</v>
      </c>
      <c r="E545" s="63">
        <v>610</v>
      </c>
      <c r="F545" s="69">
        <v>650000</v>
      </c>
      <c r="G545" s="69">
        <v>0</v>
      </c>
      <c r="H545" s="64">
        <f>SUM(F545:G545)</f>
        <v>650000</v>
      </c>
      <c r="I545" s="33"/>
    </row>
    <row r="546" spans="1:9" s="45" customFormat="1" ht="31.5">
      <c r="A546" s="65" t="s">
        <v>533</v>
      </c>
      <c r="B546" s="62" t="s">
        <v>514</v>
      </c>
      <c r="C546" s="62" t="s">
        <v>528</v>
      </c>
      <c r="D546" s="63" t="s">
        <v>534</v>
      </c>
      <c r="E546" s="63"/>
      <c r="F546" s="69">
        <f>F547</f>
        <v>7950000</v>
      </c>
      <c r="G546" s="69">
        <f>G547</f>
        <v>0</v>
      </c>
      <c r="H546" s="64">
        <f>SUM(F546:G546)</f>
        <v>7950000</v>
      </c>
      <c r="I546" s="33"/>
    </row>
    <row r="547" spans="1:9" s="45" customFormat="1" ht="31.5">
      <c r="A547" s="65" t="s">
        <v>167</v>
      </c>
      <c r="B547" s="62" t="s">
        <v>514</v>
      </c>
      <c r="C547" s="62" t="s">
        <v>528</v>
      </c>
      <c r="D547" s="63" t="s">
        <v>534</v>
      </c>
      <c r="E547" s="63">
        <v>600</v>
      </c>
      <c r="F547" s="69">
        <f>F548</f>
        <v>7950000</v>
      </c>
      <c r="G547" s="69">
        <f>G548</f>
        <v>0</v>
      </c>
      <c r="H547" s="64">
        <f>SUM(F547:G547)</f>
        <v>7950000</v>
      </c>
      <c r="I547" s="33"/>
    </row>
    <row r="548" spans="1:9" s="45" customFormat="1" ht="15.75">
      <c r="A548" s="65" t="s">
        <v>168</v>
      </c>
      <c r="B548" s="62" t="s">
        <v>514</v>
      </c>
      <c r="C548" s="62" t="s">
        <v>528</v>
      </c>
      <c r="D548" s="63" t="s">
        <v>534</v>
      </c>
      <c r="E548" s="63">
        <v>610</v>
      </c>
      <c r="F548" s="69">
        <v>7950000</v>
      </c>
      <c r="G548" s="69">
        <v>0</v>
      </c>
      <c r="H548" s="64">
        <f>SUM(F548:G548)</f>
        <v>7950000</v>
      </c>
      <c r="I548" s="33"/>
    </row>
    <row r="549" spans="1:9" s="45" customFormat="1" ht="31.5">
      <c r="A549" s="65" t="s">
        <v>169</v>
      </c>
      <c r="B549" s="62" t="s">
        <v>514</v>
      </c>
      <c r="C549" s="62" t="s">
        <v>528</v>
      </c>
      <c r="D549" s="63" t="s">
        <v>170</v>
      </c>
      <c r="E549" s="63"/>
      <c r="F549" s="66">
        <f>F550</f>
        <v>150000</v>
      </c>
      <c r="G549" s="66">
        <f>G550</f>
        <v>0</v>
      </c>
      <c r="H549" s="64">
        <f>SUM(F549:G549)</f>
        <v>150000</v>
      </c>
      <c r="I549" s="33"/>
    </row>
    <row r="550" spans="1:9" s="45" customFormat="1" ht="47.25">
      <c r="A550" s="83" t="s">
        <v>171</v>
      </c>
      <c r="B550" s="62" t="s">
        <v>514</v>
      </c>
      <c r="C550" s="62" t="s">
        <v>528</v>
      </c>
      <c r="D550" s="63" t="s">
        <v>172</v>
      </c>
      <c r="E550" s="63"/>
      <c r="F550" s="66">
        <f>F551</f>
        <v>150000</v>
      </c>
      <c r="G550" s="66">
        <f>G551</f>
        <v>0</v>
      </c>
      <c r="H550" s="64">
        <f>SUM(F550:G550)</f>
        <v>150000</v>
      </c>
      <c r="I550" s="33"/>
    </row>
    <row r="551" spans="1:9" s="51" customFormat="1" ht="31.5">
      <c r="A551" s="83" t="s">
        <v>535</v>
      </c>
      <c r="B551" s="62" t="s">
        <v>514</v>
      </c>
      <c r="C551" s="62" t="s">
        <v>528</v>
      </c>
      <c r="D551" s="63" t="s">
        <v>536</v>
      </c>
      <c r="E551" s="63"/>
      <c r="F551" s="66">
        <f>F552</f>
        <v>150000</v>
      </c>
      <c r="G551" s="66">
        <f>G552</f>
        <v>0</v>
      </c>
      <c r="H551" s="64">
        <f>SUM(F551:G551)</f>
        <v>150000</v>
      </c>
      <c r="I551" s="50"/>
    </row>
    <row r="552" spans="1:9" s="51" customFormat="1" ht="31.5">
      <c r="A552" s="65" t="s">
        <v>167</v>
      </c>
      <c r="B552" s="62" t="s">
        <v>514</v>
      </c>
      <c r="C552" s="62" t="s">
        <v>528</v>
      </c>
      <c r="D552" s="63" t="s">
        <v>536</v>
      </c>
      <c r="E552" s="63">
        <v>600</v>
      </c>
      <c r="F552" s="66">
        <f>F553</f>
        <v>150000</v>
      </c>
      <c r="G552" s="66">
        <f>G553</f>
        <v>0</v>
      </c>
      <c r="H552" s="64">
        <f>SUM(F552:G552)</f>
        <v>150000</v>
      </c>
      <c r="I552" s="50"/>
    </row>
    <row r="553" spans="1:9" s="51" customFormat="1" ht="16.5">
      <c r="A553" s="65" t="s">
        <v>168</v>
      </c>
      <c r="B553" s="62" t="s">
        <v>514</v>
      </c>
      <c r="C553" s="62" t="s">
        <v>528</v>
      </c>
      <c r="D553" s="63" t="s">
        <v>536</v>
      </c>
      <c r="E553" s="63">
        <v>610</v>
      </c>
      <c r="F553" s="66">
        <v>150000</v>
      </c>
      <c r="G553" s="66">
        <v>0</v>
      </c>
      <c r="H553" s="64">
        <f>SUM(F553:G553)</f>
        <v>150000</v>
      </c>
      <c r="I553" s="50"/>
    </row>
    <row r="554" spans="1:9" s="51" customFormat="1" ht="16.5">
      <c r="A554" s="52" t="s">
        <v>537</v>
      </c>
      <c r="B554" s="53" t="s">
        <v>514</v>
      </c>
      <c r="C554" s="53" t="s">
        <v>538</v>
      </c>
      <c r="D554" s="63"/>
      <c r="E554" s="63"/>
      <c r="F554" s="88">
        <f>SUM(F555,F611,F617)</f>
        <v>256626151</v>
      </c>
      <c r="G554" s="88">
        <f>SUM(G555,G611,G617)</f>
        <v>0</v>
      </c>
      <c r="H554" s="54">
        <f>SUM(F554:G554)</f>
        <v>256626151</v>
      </c>
      <c r="I554" s="50"/>
    </row>
    <row r="555" spans="1:9" s="51" customFormat="1" ht="16.5">
      <c r="A555" s="55" t="s">
        <v>539</v>
      </c>
      <c r="B555" s="57" t="s">
        <v>514</v>
      </c>
      <c r="C555" s="57" t="s">
        <v>540</v>
      </c>
      <c r="D555" s="63"/>
      <c r="E555" s="63"/>
      <c r="F555" s="72">
        <f>F556+F602</f>
        <v>213041151</v>
      </c>
      <c r="G555" s="72">
        <f>G556+G602</f>
        <v>0</v>
      </c>
      <c r="H555" s="58">
        <f>SUM(F555:G555)</f>
        <v>213041151</v>
      </c>
      <c r="I555" s="50"/>
    </row>
    <row r="556" spans="1:9" s="51" customFormat="1" ht="31.5">
      <c r="A556" s="65" t="s">
        <v>517</v>
      </c>
      <c r="B556" s="62" t="s">
        <v>514</v>
      </c>
      <c r="C556" s="62" t="s">
        <v>540</v>
      </c>
      <c r="D556" s="63" t="s">
        <v>518</v>
      </c>
      <c r="E556" s="63"/>
      <c r="F556" s="66">
        <f>SUM(F557,F585,F592)</f>
        <v>212441151</v>
      </c>
      <c r="G556" s="66">
        <f>SUM(G557,G585,G592)</f>
        <v>0</v>
      </c>
      <c r="H556" s="64">
        <f>SUM(F556:G556)</f>
        <v>212441151</v>
      </c>
      <c r="I556" s="50"/>
    </row>
    <row r="557" spans="1:9" s="51" customFormat="1" ht="31.5">
      <c r="A557" s="83" t="s">
        <v>541</v>
      </c>
      <c r="B557" s="62" t="s">
        <v>514</v>
      </c>
      <c r="C557" s="62" t="s">
        <v>540</v>
      </c>
      <c r="D557" s="63" t="s">
        <v>542</v>
      </c>
      <c r="E557" s="63"/>
      <c r="F557" s="66">
        <f>SUM(F558,F562,F566,F570,F573,F579,F582)</f>
        <v>118569000</v>
      </c>
      <c r="G557" s="66">
        <f>SUM(G558,G562,G566,G570,G573,G579,G582)</f>
        <v>0</v>
      </c>
      <c r="H557" s="64">
        <f>SUM(F557:G557)</f>
        <v>118569000</v>
      </c>
      <c r="I557" s="50"/>
    </row>
    <row r="558" spans="1:8" s="33" customFormat="1" ht="15.75">
      <c r="A558" s="83" t="s">
        <v>543</v>
      </c>
      <c r="B558" s="62" t="s">
        <v>514</v>
      </c>
      <c r="C558" s="62" t="s">
        <v>540</v>
      </c>
      <c r="D558" s="63" t="s">
        <v>544</v>
      </c>
      <c r="E558" s="63"/>
      <c r="F558" s="66">
        <f>SUM(F559)</f>
        <v>5000000</v>
      </c>
      <c r="G558" s="66">
        <f>SUM(G559)</f>
        <v>0</v>
      </c>
      <c r="H558" s="64">
        <f>SUM(F558:G558)</f>
        <v>5000000</v>
      </c>
    </row>
    <row r="559" spans="1:8" s="33" customFormat="1" ht="31.5">
      <c r="A559" s="65" t="s">
        <v>167</v>
      </c>
      <c r="B559" s="62" t="s">
        <v>514</v>
      </c>
      <c r="C559" s="62" t="s">
        <v>540</v>
      </c>
      <c r="D559" s="63" t="s">
        <v>544</v>
      </c>
      <c r="E559" s="63">
        <v>600</v>
      </c>
      <c r="F559" s="66">
        <f>SUM(F560:F561)</f>
        <v>5000000</v>
      </c>
      <c r="G559" s="66">
        <f>SUM(G560:G561)</f>
        <v>0</v>
      </c>
      <c r="H559" s="64">
        <f>SUM(F559:G559)</f>
        <v>5000000</v>
      </c>
    </row>
    <row r="560" spans="1:8" s="33" customFormat="1" ht="15.75">
      <c r="A560" s="65" t="s">
        <v>168</v>
      </c>
      <c r="B560" s="62" t="s">
        <v>514</v>
      </c>
      <c r="C560" s="62" t="s">
        <v>540</v>
      </c>
      <c r="D560" s="63" t="s">
        <v>544</v>
      </c>
      <c r="E560" s="63">
        <v>610</v>
      </c>
      <c r="F560" s="66">
        <v>4500000</v>
      </c>
      <c r="G560" s="66">
        <v>0</v>
      </c>
      <c r="H560" s="64">
        <f>SUM(F560:G560)</f>
        <v>4500000</v>
      </c>
    </row>
    <row r="561" spans="1:8" s="33" customFormat="1" ht="15.75">
      <c r="A561" s="65" t="s">
        <v>397</v>
      </c>
      <c r="B561" s="62" t="s">
        <v>514</v>
      </c>
      <c r="C561" s="62" t="s">
        <v>540</v>
      </c>
      <c r="D561" s="63" t="s">
        <v>544</v>
      </c>
      <c r="E561" s="63">
        <v>620</v>
      </c>
      <c r="F561" s="66">
        <v>500000</v>
      </c>
      <c r="G561" s="66">
        <v>0</v>
      </c>
      <c r="H561" s="64">
        <f>SUM(F561:G561)</f>
        <v>500000</v>
      </c>
    </row>
    <row r="562" spans="1:8" s="33" customFormat="1" ht="31.5">
      <c r="A562" s="83" t="s">
        <v>545</v>
      </c>
      <c r="B562" s="62" t="s">
        <v>514</v>
      </c>
      <c r="C562" s="62" t="s">
        <v>540</v>
      </c>
      <c r="D562" s="63" t="s">
        <v>546</v>
      </c>
      <c r="E562" s="63"/>
      <c r="F562" s="66">
        <f>F563</f>
        <v>100169000</v>
      </c>
      <c r="G562" s="66">
        <f>G563</f>
        <v>-3800000</v>
      </c>
      <c r="H562" s="64">
        <f>SUM(F562:G562)</f>
        <v>96369000</v>
      </c>
    </row>
    <row r="563" spans="1:8" s="33" customFormat="1" ht="31.5">
      <c r="A563" s="65" t="s">
        <v>167</v>
      </c>
      <c r="B563" s="62" t="s">
        <v>514</v>
      </c>
      <c r="C563" s="62" t="s">
        <v>540</v>
      </c>
      <c r="D563" s="63" t="s">
        <v>546</v>
      </c>
      <c r="E563" s="63">
        <v>600</v>
      </c>
      <c r="F563" s="66">
        <f>F564+F565</f>
        <v>100169000</v>
      </c>
      <c r="G563" s="66">
        <f>G564+G565</f>
        <v>-3800000</v>
      </c>
      <c r="H563" s="64">
        <f>SUM(F563:G563)</f>
        <v>96369000</v>
      </c>
    </row>
    <row r="564" spans="1:8" s="33" customFormat="1" ht="15.75">
      <c r="A564" s="65" t="s">
        <v>168</v>
      </c>
      <c r="B564" s="62" t="s">
        <v>514</v>
      </c>
      <c r="C564" s="62" t="s">
        <v>540</v>
      </c>
      <c r="D564" s="63" t="s">
        <v>546</v>
      </c>
      <c r="E564" s="63">
        <v>610</v>
      </c>
      <c r="F564" s="69">
        <v>55129000</v>
      </c>
      <c r="G564" s="69">
        <v>-3800000</v>
      </c>
      <c r="H564" s="64">
        <f>SUM(F564:G564)</f>
        <v>51329000</v>
      </c>
    </row>
    <row r="565" spans="1:8" s="33" customFormat="1" ht="15.75">
      <c r="A565" s="65" t="s">
        <v>397</v>
      </c>
      <c r="B565" s="62" t="s">
        <v>514</v>
      </c>
      <c r="C565" s="62" t="s">
        <v>540</v>
      </c>
      <c r="D565" s="63" t="s">
        <v>546</v>
      </c>
      <c r="E565" s="63">
        <v>620</v>
      </c>
      <c r="F565" s="69">
        <v>45040000</v>
      </c>
      <c r="G565" s="69">
        <v>0</v>
      </c>
      <c r="H565" s="64">
        <f>SUM(F565:G565)</f>
        <v>45040000</v>
      </c>
    </row>
    <row r="566" spans="1:8" s="33" customFormat="1" ht="47.25">
      <c r="A566" s="83" t="s">
        <v>547</v>
      </c>
      <c r="B566" s="62" t="s">
        <v>514</v>
      </c>
      <c r="C566" s="62" t="s">
        <v>540</v>
      </c>
      <c r="D566" s="63" t="s">
        <v>548</v>
      </c>
      <c r="E566" s="63"/>
      <c r="F566" s="66">
        <f>F567</f>
        <v>6400000</v>
      </c>
      <c r="G566" s="66">
        <f>G567</f>
        <v>3800000</v>
      </c>
      <c r="H566" s="64">
        <f>SUM(F566:G566)</f>
        <v>10200000</v>
      </c>
    </row>
    <row r="567" spans="1:8" s="33" customFormat="1" ht="31.5">
      <c r="A567" s="65" t="s">
        <v>167</v>
      </c>
      <c r="B567" s="62" t="s">
        <v>514</v>
      </c>
      <c r="C567" s="62" t="s">
        <v>540</v>
      </c>
      <c r="D567" s="63" t="s">
        <v>548</v>
      </c>
      <c r="E567" s="63">
        <v>600</v>
      </c>
      <c r="F567" s="66">
        <f>F568+F569</f>
        <v>6400000</v>
      </c>
      <c r="G567" s="66">
        <f>G568+G569</f>
        <v>3800000</v>
      </c>
      <c r="H567" s="64">
        <f>SUM(F567:G567)</f>
        <v>10200000</v>
      </c>
    </row>
    <row r="568" spans="1:8" s="33" customFormat="1" ht="15.75">
      <c r="A568" s="65" t="s">
        <v>168</v>
      </c>
      <c r="B568" s="62" t="s">
        <v>514</v>
      </c>
      <c r="C568" s="62" t="s">
        <v>540</v>
      </c>
      <c r="D568" s="63" t="s">
        <v>548</v>
      </c>
      <c r="E568" s="63">
        <v>610</v>
      </c>
      <c r="F568" s="66">
        <v>4900000</v>
      </c>
      <c r="G568" s="66">
        <v>3800000</v>
      </c>
      <c r="H568" s="64">
        <f>SUM(F568:G568)</f>
        <v>8700000</v>
      </c>
    </row>
    <row r="569" spans="1:8" s="33" customFormat="1" ht="15.75">
      <c r="A569" s="65" t="s">
        <v>397</v>
      </c>
      <c r="B569" s="62" t="s">
        <v>514</v>
      </c>
      <c r="C569" s="62" t="s">
        <v>540</v>
      </c>
      <c r="D569" s="63" t="s">
        <v>548</v>
      </c>
      <c r="E569" s="63">
        <v>620</v>
      </c>
      <c r="F569" s="66">
        <v>1500000</v>
      </c>
      <c r="G569" s="66">
        <v>0</v>
      </c>
      <c r="H569" s="64">
        <f>SUM(F569:G569)</f>
        <v>1500000</v>
      </c>
    </row>
    <row r="570" spans="1:8" s="33" customFormat="1" ht="47.25">
      <c r="A570" s="83" t="s">
        <v>549</v>
      </c>
      <c r="B570" s="62" t="s">
        <v>514</v>
      </c>
      <c r="C570" s="62" t="s">
        <v>540</v>
      </c>
      <c r="D570" s="63" t="s">
        <v>550</v>
      </c>
      <c r="E570" s="63"/>
      <c r="F570" s="66">
        <f>F571</f>
        <v>6000000</v>
      </c>
      <c r="G570" s="66">
        <f>G571</f>
        <v>0</v>
      </c>
      <c r="H570" s="64">
        <f>SUM(F570:G570)</f>
        <v>6000000</v>
      </c>
    </row>
    <row r="571" spans="1:8" s="33" customFormat="1" ht="15.75">
      <c r="A571" s="65" t="s">
        <v>129</v>
      </c>
      <c r="B571" s="62" t="s">
        <v>514</v>
      </c>
      <c r="C571" s="62" t="s">
        <v>540</v>
      </c>
      <c r="D571" s="63" t="s">
        <v>550</v>
      </c>
      <c r="E571" s="63">
        <v>800</v>
      </c>
      <c r="F571" s="66">
        <f>F572</f>
        <v>6000000</v>
      </c>
      <c r="G571" s="66">
        <f>G572</f>
        <v>0</v>
      </c>
      <c r="H571" s="64">
        <f>SUM(F571:G571)</f>
        <v>6000000</v>
      </c>
    </row>
    <row r="572" spans="1:8" s="33" customFormat="1" ht="47.25">
      <c r="A572" s="65" t="s">
        <v>243</v>
      </c>
      <c r="B572" s="62" t="s">
        <v>514</v>
      </c>
      <c r="C572" s="62" t="s">
        <v>540</v>
      </c>
      <c r="D572" s="63" t="s">
        <v>550</v>
      </c>
      <c r="E572" s="63">
        <v>810</v>
      </c>
      <c r="F572" s="66">
        <v>6000000</v>
      </c>
      <c r="G572" s="66">
        <v>0</v>
      </c>
      <c r="H572" s="64">
        <f>SUM(F572:G572)</f>
        <v>6000000</v>
      </c>
    </row>
    <row r="573" spans="1:9" s="45" customFormat="1" ht="31.5">
      <c r="A573" s="65" t="s">
        <v>551</v>
      </c>
      <c r="B573" s="62" t="s">
        <v>514</v>
      </c>
      <c r="C573" s="62" t="s">
        <v>540</v>
      </c>
      <c r="D573" s="63" t="s">
        <v>552</v>
      </c>
      <c r="E573" s="63"/>
      <c r="F573" s="66">
        <f>F574+F576</f>
        <v>300000</v>
      </c>
      <c r="G573" s="66">
        <f>G574+G576</f>
        <v>0</v>
      </c>
      <c r="H573" s="64">
        <f>SUM(F573:G573)</f>
        <v>300000</v>
      </c>
      <c r="I573" s="33"/>
    </row>
    <row r="574" spans="1:8" s="33" customFormat="1" ht="31.5">
      <c r="A574" s="68" t="s">
        <v>121</v>
      </c>
      <c r="B574" s="62" t="s">
        <v>514</v>
      </c>
      <c r="C574" s="62" t="s">
        <v>540</v>
      </c>
      <c r="D574" s="63" t="s">
        <v>552</v>
      </c>
      <c r="E574" s="63">
        <v>200</v>
      </c>
      <c r="F574" s="66">
        <f>SUM(F575:F575)</f>
        <v>300000</v>
      </c>
      <c r="G574" s="66">
        <f>SUM(G575:G575)</f>
        <v>-300000</v>
      </c>
      <c r="H574" s="64">
        <f>SUM(F574:G574)</f>
        <v>0</v>
      </c>
    </row>
    <row r="575" spans="1:8" s="33" customFormat="1" ht="31.5">
      <c r="A575" s="68" t="s">
        <v>123</v>
      </c>
      <c r="B575" s="62" t="s">
        <v>514</v>
      </c>
      <c r="C575" s="62" t="s">
        <v>540</v>
      </c>
      <c r="D575" s="63" t="s">
        <v>552</v>
      </c>
      <c r="E575" s="63">
        <v>240</v>
      </c>
      <c r="F575" s="66">
        <v>300000</v>
      </c>
      <c r="G575" s="66">
        <v>-300000</v>
      </c>
      <c r="H575" s="64">
        <f>SUM(F575:G575)</f>
        <v>0</v>
      </c>
    </row>
    <row r="576" spans="1:8" s="33" customFormat="1" ht="31.5">
      <c r="A576" s="65" t="s">
        <v>167</v>
      </c>
      <c r="B576" s="62" t="s">
        <v>514</v>
      </c>
      <c r="C576" s="62" t="s">
        <v>540</v>
      </c>
      <c r="D576" s="63" t="s">
        <v>552</v>
      </c>
      <c r="E576" s="63">
        <v>600</v>
      </c>
      <c r="F576" s="66">
        <f>F577+F578</f>
        <v>0</v>
      </c>
      <c r="G576" s="66">
        <f>G577+G578</f>
        <v>300000</v>
      </c>
      <c r="H576" s="64">
        <f>SUM(F576:G576)</f>
        <v>300000</v>
      </c>
    </row>
    <row r="577" spans="1:8" ht="15.75">
      <c r="A577" s="65" t="s">
        <v>168</v>
      </c>
      <c r="B577" s="62" t="s">
        <v>514</v>
      </c>
      <c r="C577" s="62" t="s">
        <v>540</v>
      </c>
      <c r="D577" s="63" t="s">
        <v>552</v>
      </c>
      <c r="E577" s="63">
        <v>610</v>
      </c>
      <c r="F577" s="66">
        <v>0</v>
      </c>
      <c r="G577" s="66">
        <v>100000</v>
      </c>
      <c r="H577" s="64">
        <f>SUM(F577:G577)</f>
        <v>100000</v>
      </c>
    </row>
    <row r="578" spans="1:8" ht="15.75">
      <c r="A578" s="65" t="s">
        <v>397</v>
      </c>
      <c r="B578" s="62" t="s">
        <v>514</v>
      </c>
      <c r="C578" s="62" t="s">
        <v>540</v>
      </c>
      <c r="D578" s="63" t="s">
        <v>552</v>
      </c>
      <c r="E578" s="63">
        <v>620</v>
      </c>
      <c r="F578" s="66">
        <v>0</v>
      </c>
      <c r="G578" s="66">
        <v>200000</v>
      </c>
      <c r="H578" s="64">
        <f>SUM(F578:G578)</f>
        <v>200000</v>
      </c>
    </row>
    <row r="579" spans="1:8" ht="31.5">
      <c r="A579" s="83" t="s">
        <v>553</v>
      </c>
      <c r="B579" s="62" t="s">
        <v>514</v>
      </c>
      <c r="C579" s="62" t="s">
        <v>540</v>
      </c>
      <c r="D579" s="63" t="s">
        <v>554</v>
      </c>
      <c r="E579" s="63"/>
      <c r="F579" s="69">
        <f>F580</f>
        <v>500000</v>
      </c>
      <c r="G579" s="69">
        <f>G580</f>
        <v>0</v>
      </c>
      <c r="H579" s="64">
        <f>SUM(F579:G579)</f>
        <v>500000</v>
      </c>
    </row>
    <row r="580" spans="1:8" ht="31.5">
      <c r="A580" s="65" t="s">
        <v>167</v>
      </c>
      <c r="B580" s="62" t="s">
        <v>514</v>
      </c>
      <c r="C580" s="62" t="s">
        <v>540</v>
      </c>
      <c r="D580" s="63" t="s">
        <v>554</v>
      </c>
      <c r="E580" s="63">
        <v>600</v>
      </c>
      <c r="F580" s="69">
        <f>F581</f>
        <v>500000</v>
      </c>
      <c r="G580" s="69">
        <v>0</v>
      </c>
      <c r="H580" s="64">
        <f>SUM(F580:G580)</f>
        <v>500000</v>
      </c>
    </row>
    <row r="581" spans="1:8" ht="15.75">
      <c r="A581" s="65" t="s">
        <v>168</v>
      </c>
      <c r="B581" s="62" t="s">
        <v>514</v>
      </c>
      <c r="C581" s="62" t="s">
        <v>540</v>
      </c>
      <c r="D581" s="63" t="s">
        <v>554</v>
      </c>
      <c r="E581" s="63">
        <v>610</v>
      </c>
      <c r="F581" s="69">
        <v>500000</v>
      </c>
      <c r="G581" s="69">
        <v>0</v>
      </c>
      <c r="H581" s="64">
        <f>SUM(F581:G581)</f>
        <v>500000</v>
      </c>
    </row>
    <row r="582" spans="1:8" ht="15.75">
      <c r="A582" s="65" t="s">
        <v>555</v>
      </c>
      <c r="B582" s="62" t="s">
        <v>514</v>
      </c>
      <c r="C582" s="62" t="s">
        <v>540</v>
      </c>
      <c r="D582" s="63" t="s">
        <v>556</v>
      </c>
      <c r="E582" s="63"/>
      <c r="F582" s="69">
        <f>F583</f>
        <v>200000</v>
      </c>
      <c r="G582" s="69">
        <f>G583</f>
        <v>0</v>
      </c>
      <c r="H582" s="64">
        <f>SUM(F582:G582)</f>
        <v>200000</v>
      </c>
    </row>
    <row r="583" spans="1:8" ht="31.5">
      <c r="A583" s="65" t="s">
        <v>167</v>
      </c>
      <c r="B583" s="62" t="s">
        <v>514</v>
      </c>
      <c r="C583" s="62" t="s">
        <v>540</v>
      </c>
      <c r="D583" s="63" t="s">
        <v>556</v>
      </c>
      <c r="E583" s="63">
        <v>600</v>
      </c>
      <c r="F583" s="69">
        <f>F584</f>
        <v>200000</v>
      </c>
      <c r="G583" s="69">
        <f>G584</f>
        <v>0</v>
      </c>
      <c r="H583" s="64">
        <f>SUM(F583:G583)</f>
        <v>200000</v>
      </c>
    </row>
    <row r="584" spans="1:8" ht="15.75">
      <c r="A584" s="65" t="s">
        <v>168</v>
      </c>
      <c r="B584" s="62" t="s">
        <v>514</v>
      </c>
      <c r="C584" s="62" t="s">
        <v>540</v>
      </c>
      <c r="D584" s="63" t="s">
        <v>556</v>
      </c>
      <c r="E584" s="63">
        <v>610</v>
      </c>
      <c r="F584" s="69">
        <v>200000</v>
      </c>
      <c r="G584" s="69">
        <v>0</v>
      </c>
      <c r="H584" s="64">
        <f>SUM(F584:G584)</f>
        <v>200000</v>
      </c>
    </row>
    <row r="585" spans="1:8" ht="31.5">
      <c r="A585" s="83" t="s">
        <v>557</v>
      </c>
      <c r="B585" s="62" t="s">
        <v>514</v>
      </c>
      <c r="C585" s="62" t="s">
        <v>540</v>
      </c>
      <c r="D585" s="63" t="s">
        <v>558</v>
      </c>
      <c r="E585" s="63"/>
      <c r="F585" s="66">
        <f>SUM(F586,F589)</f>
        <v>51962000</v>
      </c>
      <c r="G585" s="66">
        <f>SUM(G586,G589)</f>
        <v>0</v>
      </c>
      <c r="H585" s="64">
        <f>SUM(F585:G585)</f>
        <v>51962000</v>
      </c>
    </row>
    <row r="586" spans="1:8" ht="31.5">
      <c r="A586" s="83" t="s">
        <v>559</v>
      </c>
      <c r="B586" s="62" t="s">
        <v>514</v>
      </c>
      <c r="C586" s="62" t="s">
        <v>540</v>
      </c>
      <c r="D586" s="63" t="s">
        <v>560</v>
      </c>
      <c r="E586" s="63"/>
      <c r="F586" s="66">
        <f>F587</f>
        <v>50462000</v>
      </c>
      <c r="G586" s="66">
        <f>G587</f>
        <v>-354000</v>
      </c>
      <c r="H586" s="64">
        <f>SUM(F586:G586)</f>
        <v>50108000</v>
      </c>
    </row>
    <row r="587" spans="1:8" ht="31.5">
      <c r="A587" s="65" t="s">
        <v>167</v>
      </c>
      <c r="B587" s="62" t="s">
        <v>514</v>
      </c>
      <c r="C587" s="62" t="s">
        <v>540</v>
      </c>
      <c r="D587" s="63" t="s">
        <v>560</v>
      </c>
      <c r="E587" s="63">
        <v>600</v>
      </c>
      <c r="F587" s="66">
        <f>F588</f>
        <v>50462000</v>
      </c>
      <c r="G587" s="66">
        <f>G588</f>
        <v>-354000</v>
      </c>
      <c r="H587" s="64">
        <f>SUM(F587:G587)</f>
        <v>50108000</v>
      </c>
    </row>
    <row r="588" spans="1:8" ht="15.75">
      <c r="A588" s="65" t="s">
        <v>168</v>
      </c>
      <c r="B588" s="62" t="s">
        <v>514</v>
      </c>
      <c r="C588" s="62" t="s">
        <v>540</v>
      </c>
      <c r="D588" s="63" t="s">
        <v>560</v>
      </c>
      <c r="E588" s="63">
        <v>610</v>
      </c>
      <c r="F588" s="66">
        <v>50462000</v>
      </c>
      <c r="G588" s="66">
        <v>-354000</v>
      </c>
      <c r="H588" s="64">
        <f>SUM(F588:G588)</f>
        <v>50108000</v>
      </c>
    </row>
    <row r="589" spans="1:8" ht="47.25">
      <c r="A589" s="83" t="s">
        <v>561</v>
      </c>
      <c r="B589" s="62" t="s">
        <v>514</v>
      </c>
      <c r="C589" s="62" t="s">
        <v>540</v>
      </c>
      <c r="D589" s="63" t="s">
        <v>562</v>
      </c>
      <c r="E589" s="63"/>
      <c r="F589" s="66">
        <f>F590</f>
        <v>1500000</v>
      </c>
      <c r="G589" s="66">
        <f>G590</f>
        <v>354000</v>
      </c>
      <c r="H589" s="64">
        <f>SUM(F589:G589)</f>
        <v>1854000</v>
      </c>
    </row>
    <row r="590" spans="1:8" ht="31.5">
      <c r="A590" s="65" t="s">
        <v>167</v>
      </c>
      <c r="B590" s="62" t="s">
        <v>514</v>
      </c>
      <c r="C590" s="62" t="s">
        <v>540</v>
      </c>
      <c r="D590" s="63" t="s">
        <v>562</v>
      </c>
      <c r="E590" s="63">
        <v>600</v>
      </c>
      <c r="F590" s="66">
        <f>F591</f>
        <v>1500000</v>
      </c>
      <c r="G590" s="66">
        <f>G591</f>
        <v>354000</v>
      </c>
      <c r="H590" s="64">
        <f>SUM(F590:G590)</f>
        <v>1854000</v>
      </c>
    </row>
    <row r="591" spans="1:8" ht="15.75">
      <c r="A591" s="65" t="s">
        <v>168</v>
      </c>
      <c r="B591" s="62" t="s">
        <v>514</v>
      </c>
      <c r="C591" s="62" t="s">
        <v>540</v>
      </c>
      <c r="D591" s="63" t="s">
        <v>562</v>
      </c>
      <c r="E591" s="63">
        <v>610</v>
      </c>
      <c r="F591" s="66">
        <v>1500000</v>
      </c>
      <c r="G591" s="66">
        <v>354000</v>
      </c>
      <c r="H591" s="64">
        <f>SUM(F591:G591)</f>
        <v>1854000</v>
      </c>
    </row>
    <row r="592" spans="1:8" ht="31.5">
      <c r="A592" s="83" t="s">
        <v>563</v>
      </c>
      <c r="B592" s="62" t="s">
        <v>514</v>
      </c>
      <c r="C592" s="62" t="s">
        <v>540</v>
      </c>
      <c r="D592" s="63" t="s">
        <v>564</v>
      </c>
      <c r="E592" s="63"/>
      <c r="F592" s="66">
        <f>SUM(F593,F596,F599)</f>
        <v>41910151</v>
      </c>
      <c r="G592" s="66">
        <f>SUM(G593,G596,G599)</f>
        <v>0</v>
      </c>
      <c r="H592" s="64">
        <f>SUM(F592:G592)</f>
        <v>41910151</v>
      </c>
    </row>
    <row r="593" spans="1:8" ht="15.75">
      <c r="A593" s="83" t="s">
        <v>565</v>
      </c>
      <c r="B593" s="62" t="s">
        <v>514</v>
      </c>
      <c r="C593" s="62" t="s">
        <v>540</v>
      </c>
      <c r="D593" s="63" t="s">
        <v>566</v>
      </c>
      <c r="E593" s="63"/>
      <c r="F593" s="66">
        <f>F594</f>
        <v>25834000</v>
      </c>
      <c r="G593" s="66">
        <f>G594</f>
        <v>0</v>
      </c>
      <c r="H593" s="64">
        <f>SUM(F593:G593)</f>
        <v>25834000</v>
      </c>
    </row>
    <row r="594" spans="1:8" ht="31.5">
      <c r="A594" s="65" t="s">
        <v>167</v>
      </c>
      <c r="B594" s="62" t="s">
        <v>514</v>
      </c>
      <c r="C594" s="62" t="s">
        <v>540</v>
      </c>
      <c r="D594" s="63" t="s">
        <v>566</v>
      </c>
      <c r="E594" s="63">
        <v>600</v>
      </c>
      <c r="F594" s="66">
        <f>F595</f>
        <v>25834000</v>
      </c>
      <c r="G594" s="66">
        <f>G595</f>
        <v>0</v>
      </c>
      <c r="H594" s="64">
        <f>SUM(F594:G594)</f>
        <v>25834000</v>
      </c>
    </row>
    <row r="595" spans="1:8" ht="15.75">
      <c r="A595" s="65" t="s">
        <v>168</v>
      </c>
      <c r="B595" s="62" t="s">
        <v>514</v>
      </c>
      <c r="C595" s="62" t="s">
        <v>540</v>
      </c>
      <c r="D595" s="63" t="s">
        <v>566</v>
      </c>
      <c r="E595" s="63">
        <v>610</v>
      </c>
      <c r="F595" s="66">
        <v>25834000</v>
      </c>
      <c r="G595" s="66">
        <v>0</v>
      </c>
      <c r="H595" s="64">
        <f>SUM(F595:G595)</f>
        <v>25834000</v>
      </c>
    </row>
    <row r="596" spans="1:8" ht="31.5">
      <c r="A596" s="83" t="s">
        <v>567</v>
      </c>
      <c r="B596" s="62" t="s">
        <v>514</v>
      </c>
      <c r="C596" s="62" t="s">
        <v>540</v>
      </c>
      <c r="D596" s="63" t="s">
        <v>568</v>
      </c>
      <c r="E596" s="63"/>
      <c r="F596" s="66">
        <f>F597</f>
        <v>1000000</v>
      </c>
      <c r="G596" s="66">
        <f>G597</f>
        <v>0</v>
      </c>
      <c r="H596" s="64">
        <f>SUM(F596:G596)</f>
        <v>1000000</v>
      </c>
    </row>
    <row r="597" spans="1:8" ht="31.5">
      <c r="A597" s="65" t="s">
        <v>167</v>
      </c>
      <c r="B597" s="62" t="s">
        <v>514</v>
      </c>
      <c r="C597" s="62" t="s">
        <v>540</v>
      </c>
      <c r="D597" s="63" t="s">
        <v>568</v>
      </c>
      <c r="E597" s="63">
        <v>600</v>
      </c>
      <c r="F597" s="66">
        <f>F598</f>
        <v>1000000</v>
      </c>
      <c r="G597" s="66">
        <f>G598</f>
        <v>0</v>
      </c>
      <c r="H597" s="64">
        <f>SUM(F597:G597)</f>
        <v>1000000</v>
      </c>
    </row>
    <row r="598" spans="1:8" ht="15.75">
      <c r="A598" s="65" t="s">
        <v>168</v>
      </c>
      <c r="B598" s="62" t="s">
        <v>514</v>
      </c>
      <c r="C598" s="62" t="s">
        <v>540</v>
      </c>
      <c r="D598" s="63" t="s">
        <v>568</v>
      </c>
      <c r="E598" s="63">
        <v>610</v>
      </c>
      <c r="F598" s="66">
        <v>1000000</v>
      </c>
      <c r="G598" s="66">
        <v>0</v>
      </c>
      <c r="H598" s="64">
        <f>SUM(F598:G598)</f>
        <v>1000000</v>
      </c>
    </row>
    <row r="599" spans="1:8" ht="110.25" customHeight="1">
      <c r="A599" s="83" t="s">
        <v>569</v>
      </c>
      <c r="B599" s="62" t="s">
        <v>514</v>
      </c>
      <c r="C599" s="62" t="s">
        <v>540</v>
      </c>
      <c r="D599" s="63" t="s">
        <v>570</v>
      </c>
      <c r="E599" s="63"/>
      <c r="F599" s="66">
        <f>F600</f>
        <v>15076151</v>
      </c>
      <c r="G599" s="66">
        <f>G600</f>
        <v>0</v>
      </c>
      <c r="H599" s="64">
        <f>SUM(F599:G599)</f>
        <v>15076151</v>
      </c>
    </row>
    <row r="600" spans="1:8" ht="31.5">
      <c r="A600" s="65" t="s">
        <v>167</v>
      </c>
      <c r="B600" s="62" t="s">
        <v>514</v>
      </c>
      <c r="C600" s="62" t="s">
        <v>540</v>
      </c>
      <c r="D600" s="63" t="s">
        <v>570</v>
      </c>
      <c r="E600" s="63">
        <v>600</v>
      </c>
      <c r="F600" s="66">
        <f>F601</f>
        <v>15076151</v>
      </c>
      <c r="G600" s="66">
        <f>G601</f>
        <v>0</v>
      </c>
      <c r="H600" s="64">
        <f>SUM(F600:G600)</f>
        <v>15076151</v>
      </c>
    </row>
    <row r="601" spans="1:8" ht="15.75">
      <c r="A601" s="65" t="s">
        <v>168</v>
      </c>
      <c r="B601" s="62" t="s">
        <v>514</v>
      </c>
      <c r="C601" s="62" t="s">
        <v>540</v>
      </c>
      <c r="D601" s="63" t="s">
        <v>570</v>
      </c>
      <c r="E601" s="63">
        <v>610</v>
      </c>
      <c r="F601" s="66">
        <v>15076151</v>
      </c>
      <c r="G601" s="66">
        <v>0</v>
      </c>
      <c r="H601" s="64">
        <f>SUM(F601:G601)</f>
        <v>15076151</v>
      </c>
    </row>
    <row r="602" spans="1:8" ht="31.5">
      <c r="A602" s="65" t="s">
        <v>248</v>
      </c>
      <c r="B602" s="62" t="s">
        <v>514</v>
      </c>
      <c r="C602" s="62" t="s">
        <v>540</v>
      </c>
      <c r="D602" s="63" t="s">
        <v>249</v>
      </c>
      <c r="E602" s="63"/>
      <c r="F602" s="66">
        <f>F603</f>
        <v>600000</v>
      </c>
      <c r="G602" s="66">
        <f>G603</f>
        <v>0</v>
      </c>
      <c r="H602" s="64">
        <f>SUM(F602:G602)</f>
        <v>600000</v>
      </c>
    </row>
    <row r="603" spans="1:8" ht="15.75">
      <c r="A603" s="60" t="s">
        <v>250</v>
      </c>
      <c r="B603" s="62" t="s">
        <v>514</v>
      </c>
      <c r="C603" s="62" t="s">
        <v>540</v>
      </c>
      <c r="D603" s="63" t="s">
        <v>251</v>
      </c>
      <c r="E603" s="63"/>
      <c r="F603" s="66">
        <f>SUM(F604,F608)</f>
        <v>600000</v>
      </c>
      <c r="G603" s="66">
        <f>SUM(G604,G608)</f>
        <v>0</v>
      </c>
      <c r="H603" s="64">
        <f>SUM(F603:G603)</f>
        <v>600000</v>
      </c>
    </row>
    <row r="604" spans="1:8" ht="68.25" customHeight="1">
      <c r="A604" s="65" t="s">
        <v>322</v>
      </c>
      <c r="B604" s="62" t="s">
        <v>514</v>
      </c>
      <c r="C604" s="62" t="s">
        <v>540</v>
      </c>
      <c r="D604" s="63" t="s">
        <v>323</v>
      </c>
      <c r="E604" s="63"/>
      <c r="F604" s="66">
        <f>F605</f>
        <v>450000</v>
      </c>
      <c r="G604" s="66">
        <f>G605</f>
        <v>0</v>
      </c>
      <c r="H604" s="64">
        <f>SUM(F604:G604)</f>
        <v>450000</v>
      </c>
    </row>
    <row r="605" spans="1:8" ht="31.5">
      <c r="A605" s="65" t="s">
        <v>167</v>
      </c>
      <c r="B605" s="62" t="s">
        <v>514</v>
      </c>
      <c r="C605" s="62" t="s">
        <v>540</v>
      </c>
      <c r="D605" s="63" t="s">
        <v>323</v>
      </c>
      <c r="E605" s="63">
        <v>600</v>
      </c>
      <c r="F605" s="66">
        <f>F606+F607</f>
        <v>450000</v>
      </c>
      <c r="G605" s="66">
        <f>G606+G607</f>
        <v>0</v>
      </c>
      <c r="H605" s="64">
        <f>SUM(F605:G605)</f>
        <v>450000</v>
      </c>
    </row>
    <row r="606" spans="1:8" ht="15.75">
      <c r="A606" s="65" t="s">
        <v>168</v>
      </c>
      <c r="B606" s="62" t="s">
        <v>514</v>
      </c>
      <c r="C606" s="62" t="s">
        <v>540</v>
      </c>
      <c r="D606" s="63" t="s">
        <v>323</v>
      </c>
      <c r="E606" s="63">
        <v>610</v>
      </c>
      <c r="F606" s="66">
        <v>450000</v>
      </c>
      <c r="G606" s="66">
        <v>-450000</v>
      </c>
      <c r="H606" s="64">
        <f>SUM(F606:G606)</f>
        <v>0</v>
      </c>
    </row>
    <row r="607" spans="1:8" ht="15.75">
      <c r="A607" s="65" t="s">
        <v>397</v>
      </c>
      <c r="B607" s="62" t="s">
        <v>514</v>
      </c>
      <c r="C607" s="62" t="s">
        <v>540</v>
      </c>
      <c r="D607" s="63" t="s">
        <v>323</v>
      </c>
      <c r="E607" s="63">
        <v>620</v>
      </c>
      <c r="F607" s="66">
        <v>0</v>
      </c>
      <c r="G607" s="66">
        <v>450000</v>
      </c>
      <c r="H607" s="64">
        <f>SUM(F607:G607)</f>
        <v>450000</v>
      </c>
    </row>
    <row r="608" spans="1:8" ht="31.5">
      <c r="A608" s="65" t="s">
        <v>571</v>
      </c>
      <c r="B608" s="62" t="s">
        <v>514</v>
      </c>
      <c r="C608" s="62" t="s">
        <v>540</v>
      </c>
      <c r="D608" s="63" t="s">
        <v>572</v>
      </c>
      <c r="E608" s="63"/>
      <c r="F608" s="66">
        <f>F609</f>
        <v>150000</v>
      </c>
      <c r="G608" s="66">
        <f>G609</f>
        <v>0</v>
      </c>
      <c r="H608" s="64">
        <f>SUM(F608:G608)</f>
        <v>150000</v>
      </c>
    </row>
    <row r="609" spans="1:8" ht="31.5">
      <c r="A609" s="65" t="s">
        <v>167</v>
      </c>
      <c r="B609" s="62" t="s">
        <v>514</v>
      </c>
      <c r="C609" s="62" t="s">
        <v>540</v>
      </c>
      <c r="D609" s="63" t="s">
        <v>572</v>
      </c>
      <c r="E609" s="63">
        <v>600</v>
      </c>
      <c r="F609" s="66">
        <f>F610</f>
        <v>150000</v>
      </c>
      <c r="G609" s="66">
        <f>G610</f>
        <v>0</v>
      </c>
      <c r="H609" s="64">
        <f>SUM(F609:G609)</f>
        <v>150000</v>
      </c>
    </row>
    <row r="610" spans="1:8" ht="15.75">
      <c r="A610" s="65" t="s">
        <v>168</v>
      </c>
      <c r="B610" s="62" t="s">
        <v>514</v>
      </c>
      <c r="C610" s="62" t="s">
        <v>540</v>
      </c>
      <c r="D610" s="63" t="s">
        <v>572</v>
      </c>
      <c r="E610" s="63">
        <v>610</v>
      </c>
      <c r="F610" s="66">
        <v>150000</v>
      </c>
      <c r="G610" s="66">
        <v>0</v>
      </c>
      <c r="H610" s="64">
        <f>SUM(F610:G610)</f>
        <v>150000</v>
      </c>
    </row>
    <row r="611" spans="1:8" ht="15.75">
      <c r="A611" s="55" t="s">
        <v>573</v>
      </c>
      <c r="B611" s="57" t="s">
        <v>514</v>
      </c>
      <c r="C611" s="57" t="s">
        <v>574</v>
      </c>
      <c r="D611" s="82"/>
      <c r="E611" s="82"/>
      <c r="F611" s="72">
        <f>F612</f>
        <v>1500000</v>
      </c>
      <c r="G611" s="72">
        <f>G612</f>
        <v>0</v>
      </c>
      <c r="H611" s="58">
        <f>SUM(F611:G611)</f>
        <v>1500000</v>
      </c>
    </row>
    <row r="612" spans="1:8" ht="31.5">
      <c r="A612" s="65" t="s">
        <v>517</v>
      </c>
      <c r="B612" s="62" t="s">
        <v>514</v>
      </c>
      <c r="C612" s="62" t="s">
        <v>574</v>
      </c>
      <c r="D612" s="63" t="s">
        <v>518</v>
      </c>
      <c r="E612" s="82"/>
      <c r="F612" s="66">
        <f>F613</f>
        <v>1500000</v>
      </c>
      <c r="G612" s="66">
        <f>G613</f>
        <v>0</v>
      </c>
      <c r="H612" s="64">
        <f>SUM(F612:G612)</f>
        <v>1500000</v>
      </c>
    </row>
    <row r="613" spans="1:8" ht="31.5">
      <c r="A613" s="83" t="s">
        <v>541</v>
      </c>
      <c r="B613" s="62" t="s">
        <v>514</v>
      </c>
      <c r="C613" s="62" t="s">
        <v>574</v>
      </c>
      <c r="D613" s="63" t="s">
        <v>542</v>
      </c>
      <c r="E613" s="82"/>
      <c r="F613" s="66">
        <f>F614</f>
        <v>1500000</v>
      </c>
      <c r="G613" s="66">
        <f>G614</f>
        <v>0</v>
      </c>
      <c r="H613" s="64">
        <f>SUM(F613:G613)</f>
        <v>1500000</v>
      </c>
    </row>
    <row r="614" spans="1:8" ht="15.75">
      <c r="A614" s="83" t="s">
        <v>575</v>
      </c>
      <c r="B614" s="62" t="s">
        <v>514</v>
      </c>
      <c r="C614" s="62" t="s">
        <v>574</v>
      </c>
      <c r="D614" s="63" t="s">
        <v>576</v>
      </c>
      <c r="E614" s="63"/>
      <c r="F614" s="66">
        <f>F615</f>
        <v>1500000</v>
      </c>
      <c r="G614" s="66">
        <f>G615</f>
        <v>0</v>
      </c>
      <c r="H614" s="64">
        <f>SUM(F614:G614)</f>
        <v>1500000</v>
      </c>
    </row>
    <row r="615" spans="1:8" ht="15.75">
      <c r="A615" s="65" t="s">
        <v>129</v>
      </c>
      <c r="B615" s="62" t="s">
        <v>514</v>
      </c>
      <c r="C615" s="62" t="s">
        <v>574</v>
      </c>
      <c r="D615" s="63" t="s">
        <v>576</v>
      </c>
      <c r="E615" s="63">
        <v>800</v>
      </c>
      <c r="F615" s="66">
        <f>F616</f>
        <v>1500000</v>
      </c>
      <c r="G615" s="66">
        <f>G616</f>
        <v>0</v>
      </c>
      <c r="H615" s="64">
        <f>SUM(F615:G615)</f>
        <v>1500000</v>
      </c>
    </row>
    <row r="616" spans="1:8" ht="47.25">
      <c r="A616" s="65" t="s">
        <v>243</v>
      </c>
      <c r="B616" s="62" t="s">
        <v>514</v>
      </c>
      <c r="C616" s="62" t="s">
        <v>574</v>
      </c>
      <c r="D616" s="63" t="s">
        <v>576</v>
      </c>
      <c r="E616" s="63">
        <v>810</v>
      </c>
      <c r="F616" s="66">
        <v>1500000</v>
      </c>
      <c r="G616" s="66">
        <v>0</v>
      </c>
      <c r="H616" s="64">
        <f>SUM(F616:G616)</f>
        <v>1500000</v>
      </c>
    </row>
    <row r="617" spans="1:8" ht="15.75">
      <c r="A617" s="55" t="s">
        <v>577</v>
      </c>
      <c r="B617" s="57" t="s">
        <v>514</v>
      </c>
      <c r="C617" s="57" t="s">
        <v>578</v>
      </c>
      <c r="D617" s="63"/>
      <c r="E617" s="82"/>
      <c r="F617" s="72">
        <f>F618</f>
        <v>42085000</v>
      </c>
      <c r="G617" s="72">
        <f>G618</f>
        <v>0</v>
      </c>
      <c r="H617" s="58">
        <f>SUM(F617:G617)</f>
        <v>42085000</v>
      </c>
    </row>
    <row r="618" spans="1:8" ht="31.5">
      <c r="A618" s="65" t="s">
        <v>517</v>
      </c>
      <c r="B618" s="62" t="s">
        <v>514</v>
      </c>
      <c r="C618" s="62" t="s">
        <v>578</v>
      </c>
      <c r="D618" s="63" t="s">
        <v>518</v>
      </c>
      <c r="E618" s="82"/>
      <c r="F618" s="66">
        <f>F619</f>
        <v>42085000</v>
      </c>
      <c r="G618" s="66">
        <f>G619</f>
        <v>0</v>
      </c>
      <c r="H618" s="64">
        <f>SUM(F618:G618)</f>
        <v>42085000</v>
      </c>
    </row>
    <row r="619" spans="1:8" ht="47.25">
      <c r="A619" s="65" t="s">
        <v>579</v>
      </c>
      <c r="B619" s="62" t="s">
        <v>514</v>
      </c>
      <c r="C619" s="62" t="s">
        <v>578</v>
      </c>
      <c r="D619" s="63" t="s">
        <v>580</v>
      </c>
      <c r="E619" s="63"/>
      <c r="F619" s="66">
        <f>SUM(F620,F627)</f>
        <v>42085000</v>
      </c>
      <c r="G619" s="66">
        <f>SUM(G620,G627)</f>
        <v>0</v>
      </c>
      <c r="H619" s="64">
        <f>SUM(F619:G619)</f>
        <v>42085000</v>
      </c>
    </row>
    <row r="620" spans="1:8" ht="31.5">
      <c r="A620" s="65" t="s">
        <v>581</v>
      </c>
      <c r="B620" s="62" t="s">
        <v>514</v>
      </c>
      <c r="C620" s="62" t="s">
        <v>578</v>
      </c>
      <c r="D620" s="63" t="s">
        <v>582</v>
      </c>
      <c r="E620" s="63"/>
      <c r="F620" s="69">
        <f>SUM(F621,F623,F625)</f>
        <v>5807000</v>
      </c>
      <c r="G620" s="69">
        <f>SUM(G621,G623,G625)</f>
        <v>0</v>
      </c>
      <c r="H620" s="64">
        <f>SUM(F620:G620)</f>
        <v>5807000</v>
      </c>
    </row>
    <row r="621" spans="1:8" ht="70.5" customHeight="1">
      <c r="A621" s="67" t="s">
        <v>115</v>
      </c>
      <c r="B621" s="62" t="s">
        <v>514</v>
      </c>
      <c r="C621" s="62" t="s">
        <v>578</v>
      </c>
      <c r="D621" s="63" t="s">
        <v>582</v>
      </c>
      <c r="E621" s="62" t="s">
        <v>116</v>
      </c>
      <c r="F621" s="66">
        <f>F622</f>
        <v>5454000</v>
      </c>
      <c r="G621" s="66">
        <f>G622</f>
        <v>0</v>
      </c>
      <c r="H621" s="64">
        <f>SUM(F621:G621)</f>
        <v>5454000</v>
      </c>
    </row>
    <row r="622" spans="1:8" ht="31.5">
      <c r="A622" s="67" t="s">
        <v>117</v>
      </c>
      <c r="B622" s="62" t="s">
        <v>514</v>
      </c>
      <c r="C622" s="62" t="s">
        <v>578</v>
      </c>
      <c r="D622" s="63" t="s">
        <v>582</v>
      </c>
      <c r="E622" s="62" t="s">
        <v>118</v>
      </c>
      <c r="F622" s="66">
        <v>5454000</v>
      </c>
      <c r="G622" s="66">
        <v>0</v>
      </c>
      <c r="H622" s="64">
        <f>SUM(F622:G622)</f>
        <v>5454000</v>
      </c>
    </row>
    <row r="623" spans="1:8" ht="31.5">
      <c r="A623" s="68" t="s">
        <v>121</v>
      </c>
      <c r="B623" s="62" t="s">
        <v>514</v>
      </c>
      <c r="C623" s="62" t="s">
        <v>578</v>
      </c>
      <c r="D623" s="63" t="s">
        <v>582</v>
      </c>
      <c r="E623" s="62" t="s">
        <v>122</v>
      </c>
      <c r="F623" s="66">
        <f>F624</f>
        <v>350000</v>
      </c>
      <c r="G623" s="66">
        <f>G624</f>
        <v>0</v>
      </c>
      <c r="H623" s="64">
        <f>SUM(F623:G623)</f>
        <v>350000</v>
      </c>
    </row>
    <row r="624" spans="1:8" ht="31.5">
      <c r="A624" s="68" t="s">
        <v>123</v>
      </c>
      <c r="B624" s="62" t="s">
        <v>514</v>
      </c>
      <c r="C624" s="62" t="s">
        <v>578</v>
      </c>
      <c r="D624" s="63" t="s">
        <v>582</v>
      </c>
      <c r="E624" s="62" t="s">
        <v>124</v>
      </c>
      <c r="F624" s="66">
        <v>350000</v>
      </c>
      <c r="G624" s="66">
        <v>0</v>
      </c>
      <c r="H624" s="64">
        <f>SUM(F624:G624)</f>
        <v>350000</v>
      </c>
    </row>
    <row r="625" spans="1:8" ht="15.75">
      <c r="A625" s="68" t="s">
        <v>129</v>
      </c>
      <c r="B625" s="62" t="s">
        <v>514</v>
      </c>
      <c r="C625" s="62" t="s">
        <v>578</v>
      </c>
      <c r="D625" s="63" t="s">
        <v>582</v>
      </c>
      <c r="E625" s="62" t="s">
        <v>130</v>
      </c>
      <c r="F625" s="66">
        <f>F626</f>
        <v>3000</v>
      </c>
      <c r="G625" s="66">
        <f>G626</f>
        <v>0</v>
      </c>
      <c r="H625" s="64">
        <f>SUM(F625:G625)</f>
        <v>3000</v>
      </c>
    </row>
    <row r="626" spans="1:8" ht="15.75">
      <c r="A626" s="68" t="s">
        <v>131</v>
      </c>
      <c r="B626" s="62" t="s">
        <v>514</v>
      </c>
      <c r="C626" s="62" t="s">
        <v>578</v>
      </c>
      <c r="D626" s="63" t="s">
        <v>582</v>
      </c>
      <c r="E626" s="62" t="s">
        <v>132</v>
      </c>
      <c r="F626" s="66">
        <v>3000</v>
      </c>
      <c r="G626" s="66">
        <v>0</v>
      </c>
      <c r="H626" s="64">
        <f>SUM(F626:G626)</f>
        <v>3000</v>
      </c>
    </row>
    <row r="627" spans="1:8" ht="31.5">
      <c r="A627" s="65" t="s">
        <v>583</v>
      </c>
      <c r="B627" s="62" t="s">
        <v>514</v>
      </c>
      <c r="C627" s="62" t="s">
        <v>578</v>
      </c>
      <c r="D627" s="63" t="s">
        <v>584</v>
      </c>
      <c r="E627" s="63"/>
      <c r="F627" s="66">
        <f>SUM(F628,F630,F632)</f>
        <v>36278000</v>
      </c>
      <c r="G627" s="66">
        <f>SUM(G628,G630,G632)</f>
        <v>0</v>
      </c>
      <c r="H627" s="64">
        <f>SUM(F627:G627)</f>
        <v>36278000</v>
      </c>
    </row>
    <row r="628" spans="1:8" ht="78.75">
      <c r="A628" s="67" t="s">
        <v>115</v>
      </c>
      <c r="B628" s="62" t="s">
        <v>514</v>
      </c>
      <c r="C628" s="62" t="s">
        <v>578</v>
      </c>
      <c r="D628" s="63" t="s">
        <v>584</v>
      </c>
      <c r="E628" s="63">
        <v>100</v>
      </c>
      <c r="F628" s="66">
        <f>F629</f>
        <v>35025000</v>
      </c>
      <c r="G628" s="66">
        <f>G629</f>
        <v>0</v>
      </c>
      <c r="H628" s="64">
        <f>SUM(F628:G628)</f>
        <v>35025000</v>
      </c>
    </row>
    <row r="629" spans="1:8" ht="15.75">
      <c r="A629" s="67" t="s">
        <v>160</v>
      </c>
      <c r="B629" s="62" t="s">
        <v>514</v>
      </c>
      <c r="C629" s="62" t="s">
        <v>578</v>
      </c>
      <c r="D629" s="63" t="s">
        <v>584</v>
      </c>
      <c r="E629" s="63">
        <v>110</v>
      </c>
      <c r="F629" s="66">
        <v>35025000</v>
      </c>
      <c r="G629" s="66">
        <v>0</v>
      </c>
      <c r="H629" s="64">
        <f>SUM(F629:G629)</f>
        <v>35025000</v>
      </c>
    </row>
    <row r="630" spans="1:8" ht="31.5">
      <c r="A630" s="68" t="s">
        <v>121</v>
      </c>
      <c r="B630" s="62" t="s">
        <v>514</v>
      </c>
      <c r="C630" s="62" t="s">
        <v>578</v>
      </c>
      <c r="D630" s="63" t="s">
        <v>584</v>
      </c>
      <c r="E630" s="63">
        <v>200</v>
      </c>
      <c r="F630" s="66">
        <f>F631</f>
        <v>1250000</v>
      </c>
      <c r="G630" s="66">
        <f>G631</f>
        <v>0</v>
      </c>
      <c r="H630" s="64">
        <f>SUM(F630:G630)</f>
        <v>1250000</v>
      </c>
    </row>
    <row r="631" spans="1:8" ht="31.5">
      <c r="A631" s="68" t="s">
        <v>123</v>
      </c>
      <c r="B631" s="62" t="s">
        <v>514</v>
      </c>
      <c r="C631" s="62" t="s">
        <v>578</v>
      </c>
      <c r="D631" s="63" t="s">
        <v>584</v>
      </c>
      <c r="E631" s="63">
        <v>240</v>
      </c>
      <c r="F631" s="66">
        <v>1250000</v>
      </c>
      <c r="G631" s="66">
        <v>0</v>
      </c>
      <c r="H631" s="64">
        <f>SUM(F631:G631)</f>
        <v>1250000</v>
      </c>
    </row>
    <row r="632" spans="1:8" ht="15.75">
      <c r="A632" s="68" t="s">
        <v>129</v>
      </c>
      <c r="B632" s="62" t="s">
        <v>514</v>
      </c>
      <c r="C632" s="62" t="s">
        <v>578</v>
      </c>
      <c r="D632" s="63" t="s">
        <v>584</v>
      </c>
      <c r="E632" s="62" t="s">
        <v>130</v>
      </c>
      <c r="F632" s="66">
        <f>F633</f>
        <v>3000</v>
      </c>
      <c r="G632" s="66">
        <f>G633</f>
        <v>0</v>
      </c>
      <c r="H632" s="64">
        <f>SUM(F632:G632)</f>
        <v>3000</v>
      </c>
    </row>
    <row r="633" spans="1:8" ht="15.75">
      <c r="A633" s="68" t="s">
        <v>131</v>
      </c>
      <c r="B633" s="62" t="s">
        <v>514</v>
      </c>
      <c r="C633" s="62" t="s">
        <v>578</v>
      </c>
      <c r="D633" s="63" t="s">
        <v>584</v>
      </c>
      <c r="E633" s="62" t="s">
        <v>132</v>
      </c>
      <c r="F633" s="66">
        <v>3000</v>
      </c>
      <c r="G633" s="66">
        <v>0</v>
      </c>
      <c r="H633" s="64">
        <f>SUM(F633:G633)</f>
        <v>3000</v>
      </c>
    </row>
    <row r="634" spans="1:8" ht="33">
      <c r="A634" s="46" t="s">
        <v>585</v>
      </c>
      <c r="B634" s="117">
        <v>847</v>
      </c>
      <c r="C634" s="48"/>
      <c r="D634" s="118"/>
      <c r="E634" s="48"/>
      <c r="F634" s="113">
        <f>SUM(F635,F657)</f>
        <v>1098667117.1399999</v>
      </c>
      <c r="G634" s="113">
        <f>SUM(G635,G657)</f>
        <v>1683260.8100000005</v>
      </c>
      <c r="H634" s="54">
        <f>SUM(F634:G634)</f>
        <v>1100350377.9499998</v>
      </c>
    </row>
    <row r="635" spans="1:8" ht="15.75">
      <c r="A635" s="52" t="s">
        <v>105</v>
      </c>
      <c r="B635" s="53" t="s">
        <v>586</v>
      </c>
      <c r="C635" s="53" t="s">
        <v>106</v>
      </c>
      <c r="D635" s="53"/>
      <c r="E635" s="53"/>
      <c r="F635" s="88">
        <f>F636</f>
        <v>31300000</v>
      </c>
      <c r="G635" s="88">
        <f>G636</f>
        <v>-3000000</v>
      </c>
      <c r="H635" s="54">
        <f>SUM(F635:G635)</f>
        <v>28300000</v>
      </c>
    </row>
    <row r="636" spans="1:8" ht="15.75">
      <c r="A636" s="55" t="s">
        <v>148</v>
      </c>
      <c r="B636" s="56" t="s">
        <v>586</v>
      </c>
      <c r="C636" s="57" t="s">
        <v>149</v>
      </c>
      <c r="D636" s="119"/>
      <c r="E636" s="119"/>
      <c r="F636" s="72">
        <f>F637</f>
        <v>31300000</v>
      </c>
      <c r="G636" s="72">
        <f>G637</f>
        <v>-3000000</v>
      </c>
      <c r="H636" s="58">
        <f>SUM(F636:G636)</f>
        <v>28300000</v>
      </c>
    </row>
    <row r="637" spans="1:8" ht="15.75">
      <c r="A637" s="60" t="s">
        <v>109</v>
      </c>
      <c r="B637" s="108">
        <v>847</v>
      </c>
      <c r="C637" s="62" t="s">
        <v>149</v>
      </c>
      <c r="D637" s="63" t="s">
        <v>110</v>
      </c>
      <c r="E637" s="119"/>
      <c r="F637" s="66">
        <f>F638</f>
        <v>31300000</v>
      </c>
      <c r="G637" s="66">
        <f>G638</f>
        <v>-3000000</v>
      </c>
      <c r="H637" s="64">
        <f>SUM(F637:G637)</f>
        <v>28300000</v>
      </c>
    </row>
    <row r="638" spans="1:8" ht="15.75">
      <c r="A638" s="65" t="s">
        <v>214</v>
      </c>
      <c r="B638" s="108">
        <v>847</v>
      </c>
      <c r="C638" s="62" t="s">
        <v>149</v>
      </c>
      <c r="D638" s="63" t="s">
        <v>215</v>
      </c>
      <c r="E638" s="57"/>
      <c r="F638" s="66">
        <f>F650+F639+F647+F644</f>
        <v>31300000</v>
      </c>
      <c r="G638" s="66">
        <f>G650+G639+G647+G644</f>
        <v>-3000000</v>
      </c>
      <c r="H638" s="64">
        <f>SUM(F638:G638)</f>
        <v>28300000</v>
      </c>
    </row>
    <row r="639" spans="1:8" ht="47.25">
      <c r="A639" s="65" t="s">
        <v>587</v>
      </c>
      <c r="B639" s="108">
        <v>847</v>
      </c>
      <c r="C639" s="62" t="s">
        <v>149</v>
      </c>
      <c r="D639" s="63" t="s">
        <v>588</v>
      </c>
      <c r="E639" s="62"/>
      <c r="F639" s="66">
        <f>F642+F641</f>
        <v>1200000</v>
      </c>
      <c r="G639" s="66">
        <f>G642+G641</f>
        <v>0</v>
      </c>
      <c r="H639" s="64">
        <f>SUM(F639:G639)</f>
        <v>1200000</v>
      </c>
    </row>
    <row r="640" spans="1:8" ht="31.5">
      <c r="A640" s="65" t="s">
        <v>167</v>
      </c>
      <c r="B640" s="108">
        <v>847</v>
      </c>
      <c r="C640" s="62" t="s">
        <v>149</v>
      </c>
      <c r="D640" s="63" t="s">
        <v>588</v>
      </c>
      <c r="E640" s="63">
        <v>600</v>
      </c>
      <c r="F640" s="66">
        <f>F641</f>
        <v>0</v>
      </c>
      <c r="G640" s="66">
        <f>G641</f>
        <v>1200000</v>
      </c>
      <c r="H640" s="64">
        <f>SUM(F640:G640)</f>
        <v>1200000</v>
      </c>
    </row>
    <row r="641" spans="1:8" ht="15.75">
      <c r="A641" s="65" t="s">
        <v>168</v>
      </c>
      <c r="B641" s="108">
        <v>847</v>
      </c>
      <c r="C641" s="62" t="s">
        <v>149</v>
      </c>
      <c r="D641" s="63" t="s">
        <v>588</v>
      </c>
      <c r="E641" s="63">
        <v>610</v>
      </c>
      <c r="F641" s="66">
        <v>0</v>
      </c>
      <c r="G641" s="66">
        <v>1200000</v>
      </c>
      <c r="H641" s="64">
        <f>SUM(F641:G641)</f>
        <v>1200000</v>
      </c>
    </row>
    <row r="642" spans="1:8" ht="15.75">
      <c r="A642" s="65" t="s">
        <v>129</v>
      </c>
      <c r="B642" s="108">
        <v>847</v>
      </c>
      <c r="C642" s="62" t="s">
        <v>149</v>
      </c>
      <c r="D642" s="63" t="s">
        <v>588</v>
      </c>
      <c r="E642" s="62" t="s">
        <v>130</v>
      </c>
      <c r="F642" s="66">
        <f>F643</f>
        <v>1200000</v>
      </c>
      <c r="G642" s="66">
        <f>G643</f>
        <v>-1200000</v>
      </c>
      <c r="H642" s="64">
        <f>SUM(F642:G642)</f>
        <v>0</v>
      </c>
    </row>
    <row r="643" spans="1:8" ht="15.75">
      <c r="A643" s="65" t="s">
        <v>146</v>
      </c>
      <c r="B643" s="108">
        <v>847</v>
      </c>
      <c r="C643" s="62" t="s">
        <v>149</v>
      </c>
      <c r="D643" s="63" t="s">
        <v>588</v>
      </c>
      <c r="E643" s="62" t="s">
        <v>147</v>
      </c>
      <c r="F643" s="66">
        <v>1200000</v>
      </c>
      <c r="G643" s="66">
        <v>-1200000</v>
      </c>
      <c r="H643" s="64">
        <f>SUM(F643:G643)</f>
        <v>0</v>
      </c>
    </row>
    <row r="644" spans="1:8" ht="66" customHeight="1">
      <c r="A644" s="65" t="s">
        <v>589</v>
      </c>
      <c r="B644" s="108">
        <v>847</v>
      </c>
      <c r="C644" s="62" t="s">
        <v>149</v>
      </c>
      <c r="D644" s="63" t="s">
        <v>590</v>
      </c>
      <c r="E644" s="62"/>
      <c r="F644" s="66">
        <f>F645</f>
        <v>27000000</v>
      </c>
      <c r="G644" s="66">
        <f>G645</f>
        <v>0</v>
      </c>
      <c r="H644" s="64">
        <f>SUM(F644:G644)</f>
        <v>27000000</v>
      </c>
    </row>
    <row r="645" spans="1:8" ht="31.5">
      <c r="A645" s="65" t="s">
        <v>167</v>
      </c>
      <c r="B645" s="108">
        <v>847</v>
      </c>
      <c r="C645" s="62" t="s">
        <v>149</v>
      </c>
      <c r="D645" s="63" t="s">
        <v>590</v>
      </c>
      <c r="E645" s="62" t="s">
        <v>591</v>
      </c>
      <c r="F645" s="66">
        <f>F646</f>
        <v>27000000</v>
      </c>
      <c r="G645" s="66">
        <f>G646</f>
        <v>0</v>
      </c>
      <c r="H645" s="64">
        <f>SUM(F645:G645)</f>
        <v>27000000</v>
      </c>
    </row>
    <row r="646" spans="1:8" ht="15.75">
      <c r="A646" s="65" t="s">
        <v>168</v>
      </c>
      <c r="B646" s="108">
        <v>847</v>
      </c>
      <c r="C646" s="62" t="s">
        <v>149</v>
      </c>
      <c r="D646" s="63" t="s">
        <v>590</v>
      </c>
      <c r="E646" s="62" t="s">
        <v>592</v>
      </c>
      <c r="F646" s="66">
        <v>27000000</v>
      </c>
      <c r="G646" s="66">
        <v>0</v>
      </c>
      <c r="H646" s="64">
        <f>SUM(F646:G646)</f>
        <v>27000000</v>
      </c>
    </row>
    <row r="647" spans="1:8" ht="31.5">
      <c r="A647" s="65" t="s">
        <v>593</v>
      </c>
      <c r="B647" s="108">
        <v>847</v>
      </c>
      <c r="C647" s="62" t="s">
        <v>149</v>
      </c>
      <c r="D647" s="63" t="s">
        <v>594</v>
      </c>
      <c r="E647" s="62"/>
      <c r="F647" s="66">
        <f>F648</f>
        <v>3000000</v>
      </c>
      <c r="G647" s="66">
        <f>G648</f>
        <v>-3000000</v>
      </c>
      <c r="H647" s="64">
        <f>SUM(F647:G647)</f>
        <v>0</v>
      </c>
    </row>
    <row r="648" spans="1:8" ht="15.75">
      <c r="A648" s="65" t="s">
        <v>129</v>
      </c>
      <c r="B648" s="108">
        <v>847</v>
      </c>
      <c r="C648" s="62" t="s">
        <v>149</v>
      </c>
      <c r="D648" s="63" t="s">
        <v>594</v>
      </c>
      <c r="E648" s="62" t="s">
        <v>130</v>
      </c>
      <c r="F648" s="66">
        <f>F649</f>
        <v>3000000</v>
      </c>
      <c r="G648" s="66">
        <f>G649</f>
        <v>-3000000</v>
      </c>
      <c r="H648" s="64">
        <f>SUM(F648:G648)</f>
        <v>0</v>
      </c>
    </row>
    <row r="649" spans="1:8" ht="15.75">
      <c r="A649" s="65" t="s">
        <v>146</v>
      </c>
      <c r="B649" s="108">
        <v>847</v>
      </c>
      <c r="C649" s="62" t="s">
        <v>149</v>
      </c>
      <c r="D649" s="63" t="s">
        <v>594</v>
      </c>
      <c r="E649" s="62" t="s">
        <v>147</v>
      </c>
      <c r="F649" s="66">
        <v>3000000</v>
      </c>
      <c r="G649" s="66">
        <f>-2700000-300000</f>
        <v>-3000000</v>
      </c>
      <c r="H649" s="64">
        <f>SUM(F649:G649)</f>
        <v>0</v>
      </c>
    </row>
    <row r="650" spans="1:8" ht="63" customHeight="1">
      <c r="A650" s="65" t="s">
        <v>595</v>
      </c>
      <c r="B650" s="108">
        <v>847</v>
      </c>
      <c r="C650" s="62" t="s">
        <v>149</v>
      </c>
      <c r="D650" s="63" t="s">
        <v>596</v>
      </c>
      <c r="E650" s="63"/>
      <c r="F650" s="66">
        <f>F655+F651+F653</f>
        <v>100000</v>
      </c>
      <c r="G650" s="66">
        <f>G655+G651+G653</f>
        <v>0</v>
      </c>
      <c r="H650" s="64">
        <f>SUM(F650:G650)</f>
        <v>100000</v>
      </c>
    </row>
    <row r="651" spans="1:8" ht="30.75" customHeight="1">
      <c r="A651" s="68" t="s">
        <v>121</v>
      </c>
      <c r="B651" s="108">
        <v>847</v>
      </c>
      <c r="C651" s="62" t="s">
        <v>149</v>
      </c>
      <c r="D651" s="63" t="s">
        <v>596</v>
      </c>
      <c r="E651" s="63">
        <v>200</v>
      </c>
      <c r="F651" s="66">
        <f>F652</f>
        <v>0</v>
      </c>
      <c r="G651" s="66">
        <f>G652</f>
        <v>991</v>
      </c>
      <c r="H651" s="64">
        <f>SUM(F651:G651)</f>
        <v>991</v>
      </c>
    </row>
    <row r="652" spans="1:8" ht="30.75" customHeight="1">
      <c r="A652" s="68" t="s">
        <v>123</v>
      </c>
      <c r="B652" s="108">
        <v>847</v>
      </c>
      <c r="C652" s="62" t="s">
        <v>149</v>
      </c>
      <c r="D652" s="63" t="s">
        <v>596</v>
      </c>
      <c r="E652" s="63">
        <v>240</v>
      </c>
      <c r="F652" s="66">
        <v>0</v>
      </c>
      <c r="G652" s="66">
        <v>991</v>
      </c>
      <c r="H652" s="64">
        <f>SUM(F652:G652)</f>
        <v>991</v>
      </c>
    </row>
    <row r="653" spans="1:8" ht="16.5" customHeight="1">
      <c r="A653" s="68" t="s">
        <v>597</v>
      </c>
      <c r="B653" s="108">
        <v>847</v>
      </c>
      <c r="C653" s="62" t="s">
        <v>149</v>
      </c>
      <c r="D653" s="63" t="s">
        <v>596</v>
      </c>
      <c r="E653" s="63">
        <v>300</v>
      </c>
      <c r="F653" s="66">
        <f>F654</f>
        <v>0</v>
      </c>
      <c r="G653" s="66">
        <f>G654</f>
        <v>99009</v>
      </c>
      <c r="H653" s="64">
        <f>SUM(F653:G653)</f>
        <v>99009</v>
      </c>
    </row>
    <row r="654" spans="1:8" ht="34.5" customHeight="1">
      <c r="A654" s="68" t="s">
        <v>598</v>
      </c>
      <c r="B654" s="108">
        <v>847</v>
      </c>
      <c r="C654" s="62" t="s">
        <v>149</v>
      </c>
      <c r="D654" s="63" t="s">
        <v>596</v>
      </c>
      <c r="E654" s="63">
        <v>320</v>
      </c>
      <c r="F654" s="66">
        <v>0</v>
      </c>
      <c r="G654" s="66">
        <v>99009</v>
      </c>
      <c r="H654" s="64">
        <f>SUM(F654:G654)</f>
        <v>99009</v>
      </c>
    </row>
    <row r="655" spans="1:8" ht="15.75">
      <c r="A655" s="68" t="s">
        <v>129</v>
      </c>
      <c r="B655" s="108">
        <v>847</v>
      </c>
      <c r="C655" s="62" t="s">
        <v>149</v>
      </c>
      <c r="D655" s="63" t="s">
        <v>596</v>
      </c>
      <c r="E655" s="63">
        <v>800</v>
      </c>
      <c r="F655" s="66">
        <f>F656</f>
        <v>100000</v>
      </c>
      <c r="G655" s="66">
        <f>G656</f>
        <v>-100000</v>
      </c>
      <c r="H655" s="64">
        <f>SUM(F655:G655)</f>
        <v>0</v>
      </c>
    </row>
    <row r="656" spans="1:8" ht="15.75">
      <c r="A656" s="65" t="s">
        <v>146</v>
      </c>
      <c r="B656" s="108">
        <v>847</v>
      </c>
      <c r="C656" s="62" t="s">
        <v>149</v>
      </c>
      <c r="D656" s="63" t="s">
        <v>596</v>
      </c>
      <c r="E656" s="63">
        <v>880</v>
      </c>
      <c r="F656" s="66">
        <v>100000</v>
      </c>
      <c r="G656" s="66">
        <v>-100000</v>
      </c>
      <c r="H656" s="64">
        <f>SUM(F656:G656)</f>
        <v>0</v>
      </c>
    </row>
    <row r="657" spans="1:8" ht="15.75">
      <c r="A657" s="52" t="s">
        <v>436</v>
      </c>
      <c r="B657" s="120">
        <v>847</v>
      </c>
      <c r="C657" s="53" t="s">
        <v>437</v>
      </c>
      <c r="D657" s="63"/>
      <c r="E657" s="82"/>
      <c r="F657" s="88">
        <f>SUM(F658,F666,F676,F757,F792)</f>
        <v>1067367117.14</v>
      </c>
      <c r="G657" s="88">
        <f>SUM(G658,G666,G676,G757,G792)</f>
        <v>4683260.8100000005</v>
      </c>
      <c r="H657" s="54">
        <f>SUM(F657:G657)</f>
        <v>1072050377.9499999</v>
      </c>
    </row>
    <row r="658" spans="1:8" ht="15.75">
      <c r="A658" s="55" t="s">
        <v>599</v>
      </c>
      <c r="B658" s="121">
        <v>847</v>
      </c>
      <c r="C658" s="57" t="s">
        <v>600</v>
      </c>
      <c r="D658" s="63"/>
      <c r="E658" s="82"/>
      <c r="F658" s="72">
        <f>F659</f>
        <v>9500000</v>
      </c>
      <c r="G658" s="72">
        <f>G659</f>
        <v>0</v>
      </c>
      <c r="H658" s="58">
        <f>SUM(F658:G658)</f>
        <v>9500000</v>
      </c>
    </row>
    <row r="659" spans="1:8" ht="31.5">
      <c r="A659" s="65" t="s">
        <v>248</v>
      </c>
      <c r="B659" s="108">
        <v>847</v>
      </c>
      <c r="C659" s="62" t="s">
        <v>600</v>
      </c>
      <c r="D659" s="63" t="s">
        <v>249</v>
      </c>
      <c r="E659" s="63"/>
      <c r="F659" s="66">
        <f>F660</f>
        <v>9500000</v>
      </c>
      <c r="G659" s="66">
        <f>G660</f>
        <v>0</v>
      </c>
      <c r="H659" s="64">
        <f>SUM(F659:G659)</f>
        <v>9500000</v>
      </c>
    </row>
    <row r="660" spans="1:8" ht="47.25">
      <c r="A660" s="65" t="s">
        <v>440</v>
      </c>
      <c r="B660" s="108">
        <v>847</v>
      </c>
      <c r="C660" s="62" t="s">
        <v>600</v>
      </c>
      <c r="D660" s="63" t="s">
        <v>441</v>
      </c>
      <c r="E660" s="63"/>
      <c r="F660" s="66">
        <f>F661</f>
        <v>9500000</v>
      </c>
      <c r="G660" s="66">
        <f>G661</f>
        <v>0</v>
      </c>
      <c r="H660" s="64">
        <f>SUM(F660:G660)</f>
        <v>9500000</v>
      </c>
    </row>
    <row r="661" spans="1:8" ht="47.25">
      <c r="A661" s="65" t="s">
        <v>601</v>
      </c>
      <c r="B661" s="108">
        <v>847</v>
      </c>
      <c r="C661" s="62" t="s">
        <v>600</v>
      </c>
      <c r="D661" s="63" t="s">
        <v>602</v>
      </c>
      <c r="E661" s="63"/>
      <c r="F661" s="66">
        <f>F664+F662</f>
        <v>9500000</v>
      </c>
      <c r="G661" s="66">
        <f>G664+G662</f>
        <v>0</v>
      </c>
      <c r="H661" s="64">
        <f>SUM(F661:G661)</f>
        <v>9500000</v>
      </c>
    </row>
    <row r="662" spans="1:8" ht="31.5">
      <c r="A662" s="68" t="s">
        <v>121</v>
      </c>
      <c r="B662" s="108">
        <v>847</v>
      </c>
      <c r="C662" s="62" t="s">
        <v>600</v>
      </c>
      <c r="D662" s="63" t="s">
        <v>602</v>
      </c>
      <c r="E662" s="63">
        <v>200</v>
      </c>
      <c r="F662" s="66">
        <f>F663</f>
        <v>94000</v>
      </c>
      <c r="G662" s="66">
        <f>G663</f>
        <v>0</v>
      </c>
      <c r="H662" s="64">
        <f>SUM(F662:G662)</f>
        <v>94000</v>
      </c>
    </row>
    <row r="663" spans="1:8" ht="31.5">
      <c r="A663" s="68" t="s">
        <v>123</v>
      </c>
      <c r="B663" s="108">
        <v>847</v>
      </c>
      <c r="C663" s="62" t="s">
        <v>600</v>
      </c>
      <c r="D663" s="63" t="s">
        <v>602</v>
      </c>
      <c r="E663" s="63">
        <v>240</v>
      </c>
      <c r="F663" s="66">
        <v>94000</v>
      </c>
      <c r="G663" s="66">
        <v>0</v>
      </c>
      <c r="H663" s="64">
        <f>SUM(F663:G663)</f>
        <v>94000</v>
      </c>
    </row>
    <row r="664" spans="1:8" ht="15.75">
      <c r="A664" s="65" t="s">
        <v>597</v>
      </c>
      <c r="B664" s="108">
        <v>847</v>
      </c>
      <c r="C664" s="62" t="s">
        <v>600</v>
      </c>
      <c r="D664" s="63" t="s">
        <v>602</v>
      </c>
      <c r="E664" s="63">
        <v>300</v>
      </c>
      <c r="F664" s="66">
        <f>F665</f>
        <v>9406000</v>
      </c>
      <c r="G664" s="66">
        <f>G665</f>
        <v>0</v>
      </c>
      <c r="H664" s="64">
        <f>SUM(F664:G664)</f>
        <v>9406000</v>
      </c>
    </row>
    <row r="665" spans="1:8" ht="15.75">
      <c r="A665" s="65" t="s">
        <v>603</v>
      </c>
      <c r="B665" s="108">
        <v>847</v>
      </c>
      <c r="C665" s="62" t="s">
        <v>600</v>
      </c>
      <c r="D665" s="63" t="s">
        <v>602</v>
      </c>
      <c r="E665" s="63">
        <v>310</v>
      </c>
      <c r="F665" s="66">
        <v>9406000</v>
      </c>
      <c r="G665" s="66">
        <v>0</v>
      </c>
      <c r="H665" s="64">
        <f>SUM(F665:G665)</f>
        <v>9406000</v>
      </c>
    </row>
    <row r="666" spans="1:8" ht="15.75">
      <c r="A666" s="106" t="s">
        <v>604</v>
      </c>
      <c r="B666" s="121">
        <v>847</v>
      </c>
      <c r="C666" s="57" t="s">
        <v>605</v>
      </c>
      <c r="D666" s="71"/>
      <c r="E666" s="71"/>
      <c r="F666" s="72">
        <f>F667</f>
        <v>64783945</v>
      </c>
      <c r="G666" s="72">
        <f>G667</f>
        <v>0</v>
      </c>
      <c r="H666" s="58">
        <f>SUM(F666:G666)</f>
        <v>64783945</v>
      </c>
    </row>
    <row r="667" spans="1:8" ht="15.75">
      <c r="A667" s="60" t="s">
        <v>109</v>
      </c>
      <c r="B667" s="108">
        <v>847</v>
      </c>
      <c r="C667" s="62" t="s">
        <v>605</v>
      </c>
      <c r="D667" s="63" t="s">
        <v>110</v>
      </c>
      <c r="E667" s="62"/>
      <c r="F667" s="66">
        <f>F668+F672</f>
        <v>64783945</v>
      </c>
      <c r="G667" s="66">
        <f>G668+G672</f>
        <v>0</v>
      </c>
      <c r="H667" s="64">
        <f>SUM(F667:G667)</f>
        <v>64783945</v>
      </c>
    </row>
    <row r="668" spans="1:8" ht="47.25">
      <c r="A668" s="65" t="s">
        <v>135</v>
      </c>
      <c r="B668" s="108">
        <v>847</v>
      </c>
      <c r="C668" s="62" t="s">
        <v>605</v>
      </c>
      <c r="D668" s="63" t="s">
        <v>136</v>
      </c>
      <c r="E668" s="62"/>
      <c r="F668" s="66">
        <f>F669</f>
        <v>59683945</v>
      </c>
      <c r="G668" s="66">
        <f>G669</f>
        <v>0</v>
      </c>
      <c r="H668" s="64">
        <f>SUM(F668:G668)</f>
        <v>59683945</v>
      </c>
    </row>
    <row r="669" spans="1:8" ht="47.25">
      <c r="A669" s="65" t="s">
        <v>606</v>
      </c>
      <c r="B669" s="108">
        <v>847</v>
      </c>
      <c r="C669" s="62" t="s">
        <v>605</v>
      </c>
      <c r="D669" s="63" t="s">
        <v>607</v>
      </c>
      <c r="E669" s="62"/>
      <c r="F669" s="66">
        <f>F670</f>
        <v>59683945</v>
      </c>
      <c r="G669" s="66">
        <f>G670</f>
        <v>0</v>
      </c>
      <c r="H669" s="64">
        <f>SUM(F669:G669)</f>
        <v>59683945</v>
      </c>
    </row>
    <row r="670" spans="1:8" ht="31.5">
      <c r="A670" s="65" t="s">
        <v>167</v>
      </c>
      <c r="B670" s="108">
        <v>847</v>
      </c>
      <c r="C670" s="62" t="s">
        <v>605</v>
      </c>
      <c r="D670" s="63" t="s">
        <v>607</v>
      </c>
      <c r="E670" s="62" t="s">
        <v>591</v>
      </c>
      <c r="F670" s="66">
        <f>F671</f>
        <v>59683945</v>
      </c>
      <c r="G670" s="66">
        <f>G671</f>
        <v>0</v>
      </c>
      <c r="H670" s="64">
        <f>SUM(F670:G670)</f>
        <v>59683945</v>
      </c>
    </row>
    <row r="671" spans="1:8" ht="15.75">
      <c r="A671" s="65" t="s">
        <v>168</v>
      </c>
      <c r="B671" s="108">
        <v>847</v>
      </c>
      <c r="C671" s="62" t="s">
        <v>605</v>
      </c>
      <c r="D671" s="63" t="s">
        <v>607</v>
      </c>
      <c r="E671" s="62" t="s">
        <v>592</v>
      </c>
      <c r="F671" s="66">
        <v>59683945</v>
      </c>
      <c r="G671" s="66">
        <v>0</v>
      </c>
      <c r="H671" s="64">
        <f>SUM(F671:G671)</f>
        <v>59683945</v>
      </c>
    </row>
    <row r="672" spans="1:8" ht="15.75">
      <c r="A672" s="65" t="s">
        <v>214</v>
      </c>
      <c r="B672" s="108">
        <v>847</v>
      </c>
      <c r="C672" s="62" t="s">
        <v>605</v>
      </c>
      <c r="D672" s="63" t="s">
        <v>215</v>
      </c>
      <c r="E672" s="63"/>
      <c r="F672" s="66">
        <f>F673</f>
        <v>5100000</v>
      </c>
      <c r="G672" s="66">
        <f>G673</f>
        <v>0</v>
      </c>
      <c r="H672" s="64">
        <f>SUM(F672:G672)</f>
        <v>5100000</v>
      </c>
    </row>
    <row r="673" spans="1:8" ht="47.25">
      <c r="A673" s="65" t="s">
        <v>587</v>
      </c>
      <c r="B673" s="108">
        <v>847</v>
      </c>
      <c r="C673" s="62" t="s">
        <v>605</v>
      </c>
      <c r="D673" s="63" t="s">
        <v>588</v>
      </c>
      <c r="E673" s="63"/>
      <c r="F673" s="66">
        <f>F674</f>
        <v>5100000</v>
      </c>
      <c r="G673" s="66">
        <f>G674</f>
        <v>0</v>
      </c>
      <c r="H673" s="64">
        <f>SUM(F673:G673)</f>
        <v>5100000</v>
      </c>
    </row>
    <row r="674" spans="1:8" ht="31.5">
      <c r="A674" s="65" t="s">
        <v>167</v>
      </c>
      <c r="B674" s="108">
        <v>847</v>
      </c>
      <c r="C674" s="62" t="s">
        <v>605</v>
      </c>
      <c r="D674" s="63" t="s">
        <v>588</v>
      </c>
      <c r="E674" s="62" t="s">
        <v>591</v>
      </c>
      <c r="F674" s="66">
        <f>F675</f>
        <v>5100000</v>
      </c>
      <c r="G674" s="66">
        <f>G675</f>
        <v>0</v>
      </c>
      <c r="H674" s="64">
        <f>SUM(F674:G674)</f>
        <v>5100000</v>
      </c>
    </row>
    <row r="675" spans="1:8" ht="15.75">
      <c r="A675" s="65" t="s">
        <v>168</v>
      </c>
      <c r="B675" s="108">
        <v>847</v>
      </c>
      <c r="C675" s="62" t="s">
        <v>605</v>
      </c>
      <c r="D675" s="63" t="s">
        <v>588</v>
      </c>
      <c r="E675" s="62" t="s">
        <v>592</v>
      </c>
      <c r="F675" s="66">
        <v>5100000</v>
      </c>
      <c r="G675" s="66">
        <v>0</v>
      </c>
      <c r="H675" s="64">
        <f>SUM(F675:G675)</f>
        <v>5100000</v>
      </c>
    </row>
    <row r="676" spans="1:8" ht="15.75">
      <c r="A676" s="122" t="s">
        <v>608</v>
      </c>
      <c r="B676" s="121">
        <v>847</v>
      </c>
      <c r="C676" s="57">
        <v>1003</v>
      </c>
      <c r="D676" s="63"/>
      <c r="E676" s="82"/>
      <c r="F676" s="72">
        <f>F677</f>
        <v>486050269</v>
      </c>
      <c r="G676" s="72">
        <f>G677</f>
        <v>507231</v>
      </c>
      <c r="H676" s="58">
        <f>SUM(F676:G676)</f>
        <v>486557500</v>
      </c>
    </row>
    <row r="677" spans="1:8" ht="31.5">
      <c r="A677" s="65" t="s">
        <v>248</v>
      </c>
      <c r="B677" s="108">
        <v>847</v>
      </c>
      <c r="C677" s="62" t="s">
        <v>609</v>
      </c>
      <c r="D677" s="63" t="s">
        <v>249</v>
      </c>
      <c r="E677" s="63"/>
      <c r="F677" s="66">
        <f>SUM(F678,F738,F751)</f>
        <v>486050269</v>
      </c>
      <c r="G677" s="66">
        <f>SUM(G678,G738,G751)</f>
        <v>507231</v>
      </c>
      <c r="H677" s="64">
        <f>SUM(F677:G677)</f>
        <v>486557500</v>
      </c>
    </row>
    <row r="678" spans="1:8" ht="47.25">
      <c r="A678" s="65" t="s">
        <v>440</v>
      </c>
      <c r="B678" s="108">
        <v>847</v>
      </c>
      <c r="C678" s="62" t="s">
        <v>609</v>
      </c>
      <c r="D678" s="63" t="s">
        <v>441</v>
      </c>
      <c r="E678" s="63"/>
      <c r="F678" s="69">
        <f>SUM(F679,F684,F689,F694,F700,F705,F710,F715,F720,F725,F730,F735)</f>
        <v>471520269</v>
      </c>
      <c r="G678" s="69">
        <f>SUM(G679,G684,G689,G694,G700,G705,G710,G715,G720,G725,G730,G735)</f>
        <v>207231</v>
      </c>
      <c r="H678" s="64">
        <f>SUM(F678:G678)</f>
        <v>471727500</v>
      </c>
    </row>
    <row r="679" spans="1:8" ht="31.5">
      <c r="A679" s="65" t="s">
        <v>610</v>
      </c>
      <c r="B679" s="108">
        <v>847</v>
      </c>
      <c r="C679" s="62" t="s">
        <v>609</v>
      </c>
      <c r="D679" s="63" t="s">
        <v>611</v>
      </c>
      <c r="E679" s="63"/>
      <c r="F679" s="69">
        <f>F682+F680</f>
        <v>128115214</v>
      </c>
      <c r="G679" s="69">
        <f>G682+G680</f>
        <v>0</v>
      </c>
      <c r="H679" s="64">
        <f>SUM(F679:G679)</f>
        <v>128115214</v>
      </c>
    </row>
    <row r="680" spans="1:8" ht="31.5">
      <c r="A680" s="68" t="s">
        <v>121</v>
      </c>
      <c r="B680" s="108">
        <v>847</v>
      </c>
      <c r="C680" s="62" t="s">
        <v>609</v>
      </c>
      <c r="D680" s="63" t="s">
        <v>611</v>
      </c>
      <c r="E680" s="63">
        <v>200</v>
      </c>
      <c r="F680" s="69">
        <f>F681</f>
        <v>1345210</v>
      </c>
      <c r="G680" s="69">
        <f>G681</f>
        <v>0</v>
      </c>
      <c r="H680" s="64">
        <f>SUM(F680:G680)</f>
        <v>1345210</v>
      </c>
    </row>
    <row r="681" spans="1:8" ht="31.5">
      <c r="A681" s="65" t="s">
        <v>123</v>
      </c>
      <c r="B681" s="108">
        <v>847</v>
      </c>
      <c r="C681" s="62" t="s">
        <v>609</v>
      </c>
      <c r="D681" s="63" t="s">
        <v>611</v>
      </c>
      <c r="E681" s="63">
        <v>240</v>
      </c>
      <c r="F681" s="69">
        <v>1345210</v>
      </c>
      <c r="G681" s="69">
        <v>0</v>
      </c>
      <c r="H681" s="64">
        <f>SUM(F681:G681)</f>
        <v>1345210</v>
      </c>
    </row>
    <row r="682" spans="1:8" ht="15.75">
      <c r="A682" s="65" t="s">
        <v>597</v>
      </c>
      <c r="B682" s="108">
        <v>847</v>
      </c>
      <c r="C682" s="62" t="s">
        <v>609</v>
      </c>
      <c r="D682" s="63" t="s">
        <v>611</v>
      </c>
      <c r="E682" s="63">
        <v>300</v>
      </c>
      <c r="F682" s="69">
        <f>F683</f>
        <v>126770004</v>
      </c>
      <c r="G682" s="69">
        <f>G683</f>
        <v>0</v>
      </c>
      <c r="H682" s="64">
        <f>SUM(F682:G682)</f>
        <v>126770004</v>
      </c>
    </row>
    <row r="683" spans="1:8" ht="15.75">
      <c r="A683" s="65" t="s">
        <v>603</v>
      </c>
      <c r="B683" s="108">
        <v>847</v>
      </c>
      <c r="C683" s="62" t="s">
        <v>609</v>
      </c>
      <c r="D683" s="63" t="s">
        <v>611</v>
      </c>
      <c r="E683" s="63">
        <v>310</v>
      </c>
      <c r="F683" s="69">
        <v>126770004</v>
      </c>
      <c r="G683" s="69">
        <v>0</v>
      </c>
      <c r="H683" s="64">
        <f>SUM(F683:G683)</f>
        <v>126770004</v>
      </c>
    </row>
    <row r="684" spans="1:8" ht="47.25">
      <c r="A684" s="65" t="s">
        <v>612</v>
      </c>
      <c r="B684" s="108">
        <v>847</v>
      </c>
      <c r="C684" s="62" t="s">
        <v>609</v>
      </c>
      <c r="D684" s="63" t="s">
        <v>613</v>
      </c>
      <c r="E684" s="63"/>
      <c r="F684" s="69">
        <f>F687+F685</f>
        <v>8445141</v>
      </c>
      <c r="G684" s="69">
        <f>G687+G685</f>
        <v>207231</v>
      </c>
      <c r="H684" s="64">
        <f>SUM(F684:G684)</f>
        <v>8652372</v>
      </c>
    </row>
    <row r="685" spans="1:8" ht="31.5">
      <c r="A685" s="68" t="s">
        <v>121</v>
      </c>
      <c r="B685" s="108">
        <v>847</v>
      </c>
      <c r="C685" s="62" t="s">
        <v>609</v>
      </c>
      <c r="D685" s="63" t="s">
        <v>613</v>
      </c>
      <c r="E685" s="63">
        <v>200</v>
      </c>
      <c r="F685" s="69">
        <f>F686</f>
        <v>84452</v>
      </c>
      <c r="G685" s="69">
        <f>G686</f>
        <v>856.18</v>
      </c>
      <c r="H685" s="64">
        <f>SUM(F685:G685)</f>
        <v>85308.18</v>
      </c>
    </row>
    <row r="686" spans="1:8" ht="31.5">
      <c r="A686" s="65" t="s">
        <v>123</v>
      </c>
      <c r="B686" s="108">
        <v>847</v>
      </c>
      <c r="C686" s="62" t="s">
        <v>609</v>
      </c>
      <c r="D686" s="63" t="s">
        <v>613</v>
      </c>
      <c r="E686" s="63">
        <v>240</v>
      </c>
      <c r="F686" s="69">
        <v>84452</v>
      </c>
      <c r="G686" s="69">
        <v>856.18</v>
      </c>
      <c r="H686" s="64">
        <f>SUM(F686:G686)</f>
        <v>85308.18</v>
      </c>
    </row>
    <row r="687" spans="1:8" ht="15.75">
      <c r="A687" s="65" t="s">
        <v>597</v>
      </c>
      <c r="B687" s="108">
        <v>847</v>
      </c>
      <c r="C687" s="62" t="s">
        <v>609</v>
      </c>
      <c r="D687" s="63" t="s">
        <v>613</v>
      </c>
      <c r="E687" s="63">
        <v>300</v>
      </c>
      <c r="F687" s="69">
        <f>F688</f>
        <v>8360689</v>
      </c>
      <c r="G687" s="69">
        <f>G688</f>
        <v>206374.82</v>
      </c>
      <c r="H687" s="64">
        <f>SUM(F687:G687)</f>
        <v>8567063.82</v>
      </c>
    </row>
    <row r="688" spans="1:8" ht="15.75">
      <c r="A688" s="65" t="s">
        <v>603</v>
      </c>
      <c r="B688" s="108">
        <v>847</v>
      </c>
      <c r="C688" s="62" t="s">
        <v>609</v>
      </c>
      <c r="D688" s="63" t="s">
        <v>613</v>
      </c>
      <c r="E688" s="63">
        <v>310</v>
      </c>
      <c r="F688" s="69">
        <v>8360689</v>
      </c>
      <c r="G688" s="69">
        <v>206374.82</v>
      </c>
      <c r="H688" s="64">
        <f>SUM(F688:G688)</f>
        <v>8567063.82</v>
      </c>
    </row>
    <row r="689" spans="1:8" s="33" customFormat="1" ht="31.5">
      <c r="A689" s="65" t="s">
        <v>614</v>
      </c>
      <c r="B689" s="108">
        <v>847</v>
      </c>
      <c r="C689" s="62" t="s">
        <v>609</v>
      </c>
      <c r="D689" s="63" t="s">
        <v>615</v>
      </c>
      <c r="E689" s="63"/>
      <c r="F689" s="69">
        <f>F692+F690</f>
        <v>28179832</v>
      </c>
      <c r="G689" s="69">
        <f>G692+G690</f>
        <v>0</v>
      </c>
      <c r="H689" s="64">
        <f>SUM(F689:G689)</f>
        <v>28179832</v>
      </c>
    </row>
    <row r="690" spans="1:8" s="33" customFormat="1" ht="31.5">
      <c r="A690" s="68" t="s">
        <v>121</v>
      </c>
      <c r="B690" s="108">
        <v>847</v>
      </c>
      <c r="C690" s="62" t="s">
        <v>609</v>
      </c>
      <c r="D690" s="63" t="s">
        <v>615</v>
      </c>
      <c r="E690" s="63">
        <v>200</v>
      </c>
      <c r="F690" s="69">
        <f>F691</f>
        <v>284617</v>
      </c>
      <c r="G690" s="69">
        <f>G691</f>
        <v>0</v>
      </c>
      <c r="H690" s="64">
        <f>SUM(F690:G690)</f>
        <v>284617</v>
      </c>
    </row>
    <row r="691" spans="1:8" s="33" customFormat="1" ht="31.5">
      <c r="A691" s="65" t="s">
        <v>123</v>
      </c>
      <c r="B691" s="108">
        <v>847</v>
      </c>
      <c r="C691" s="62" t="s">
        <v>609</v>
      </c>
      <c r="D691" s="63" t="s">
        <v>615</v>
      </c>
      <c r="E691" s="63">
        <v>240</v>
      </c>
      <c r="F691" s="69">
        <v>284617</v>
      </c>
      <c r="G691" s="69">
        <v>0</v>
      </c>
      <c r="H691" s="64">
        <f>SUM(F691:G691)</f>
        <v>284617</v>
      </c>
    </row>
    <row r="692" spans="1:8" s="33" customFormat="1" ht="15.75">
      <c r="A692" s="65" t="s">
        <v>597</v>
      </c>
      <c r="B692" s="108">
        <v>847</v>
      </c>
      <c r="C692" s="62" t="s">
        <v>609</v>
      </c>
      <c r="D692" s="63" t="s">
        <v>615</v>
      </c>
      <c r="E692" s="63">
        <v>300</v>
      </c>
      <c r="F692" s="69">
        <f>F693</f>
        <v>27895215</v>
      </c>
      <c r="G692" s="69">
        <f>G693</f>
        <v>0</v>
      </c>
      <c r="H692" s="64">
        <f>SUM(F692:G692)</f>
        <v>27895215</v>
      </c>
    </row>
    <row r="693" spans="1:9" s="45" customFormat="1" ht="15.75">
      <c r="A693" s="65" t="s">
        <v>603</v>
      </c>
      <c r="B693" s="108">
        <v>847</v>
      </c>
      <c r="C693" s="62" t="s">
        <v>609</v>
      </c>
      <c r="D693" s="63" t="s">
        <v>615</v>
      </c>
      <c r="E693" s="63">
        <v>310</v>
      </c>
      <c r="F693" s="69">
        <v>27895215</v>
      </c>
      <c r="G693" s="69">
        <v>0</v>
      </c>
      <c r="H693" s="64">
        <f>SUM(F693:G693)</f>
        <v>27895215</v>
      </c>
      <c r="I693" s="33"/>
    </row>
    <row r="694" spans="1:8" s="33" customFormat="1" ht="47.25">
      <c r="A694" s="65" t="s">
        <v>616</v>
      </c>
      <c r="B694" s="108">
        <v>847</v>
      </c>
      <c r="C694" s="62" t="s">
        <v>609</v>
      </c>
      <c r="D694" s="63" t="s">
        <v>617</v>
      </c>
      <c r="E694" s="63"/>
      <c r="F694" s="69">
        <f>F697+F695</f>
        <v>280132180</v>
      </c>
      <c r="G694" s="69">
        <f>G697+G695</f>
        <v>0</v>
      </c>
      <c r="H694" s="64">
        <f>SUM(F694:G694)</f>
        <v>280132180</v>
      </c>
    </row>
    <row r="695" spans="1:8" s="33" customFormat="1" ht="31.5">
      <c r="A695" s="68" t="s">
        <v>121</v>
      </c>
      <c r="B695" s="108">
        <v>847</v>
      </c>
      <c r="C695" s="62" t="s">
        <v>609</v>
      </c>
      <c r="D695" s="63" t="s">
        <v>617</v>
      </c>
      <c r="E695" s="63">
        <v>200</v>
      </c>
      <c r="F695" s="69">
        <f>F696</f>
        <v>3501653</v>
      </c>
      <c r="G695" s="69">
        <f>G696</f>
        <v>0</v>
      </c>
      <c r="H695" s="64">
        <f>SUM(F695:G695)</f>
        <v>3501653</v>
      </c>
    </row>
    <row r="696" spans="1:8" s="33" customFormat="1" ht="31.5">
      <c r="A696" s="65" t="s">
        <v>123</v>
      </c>
      <c r="B696" s="108">
        <v>847</v>
      </c>
      <c r="C696" s="62" t="s">
        <v>609</v>
      </c>
      <c r="D696" s="63" t="s">
        <v>617</v>
      </c>
      <c r="E696" s="63">
        <v>240</v>
      </c>
      <c r="F696" s="69">
        <v>3501653</v>
      </c>
      <c r="G696" s="69">
        <v>0</v>
      </c>
      <c r="H696" s="64">
        <f>SUM(F696:G696)</f>
        <v>3501653</v>
      </c>
    </row>
    <row r="697" spans="1:8" s="33" customFormat="1" ht="15.75">
      <c r="A697" s="65" t="s">
        <v>597</v>
      </c>
      <c r="B697" s="108">
        <v>847</v>
      </c>
      <c r="C697" s="62" t="s">
        <v>609</v>
      </c>
      <c r="D697" s="63" t="s">
        <v>617</v>
      </c>
      <c r="E697" s="63">
        <v>300</v>
      </c>
      <c r="F697" s="69">
        <f>SUM(F698:F699)</f>
        <v>276630527</v>
      </c>
      <c r="G697" s="69">
        <f>SUM(G698:G699)</f>
        <v>0</v>
      </c>
      <c r="H697" s="64">
        <f>SUM(F697:G697)</f>
        <v>276630527</v>
      </c>
    </row>
    <row r="698" spans="1:8" s="33" customFormat="1" ht="15.75">
      <c r="A698" s="65" t="s">
        <v>603</v>
      </c>
      <c r="B698" s="108">
        <v>847</v>
      </c>
      <c r="C698" s="62" t="s">
        <v>609</v>
      </c>
      <c r="D698" s="63" t="s">
        <v>617</v>
      </c>
      <c r="E698" s="63">
        <v>310</v>
      </c>
      <c r="F698" s="69">
        <v>240821160</v>
      </c>
      <c r="G698" s="69">
        <v>0</v>
      </c>
      <c r="H698" s="64">
        <f>SUM(F698:G698)</f>
        <v>240821160</v>
      </c>
    </row>
    <row r="699" spans="1:8" s="33" customFormat="1" ht="31.5">
      <c r="A699" s="65" t="s">
        <v>598</v>
      </c>
      <c r="B699" s="108">
        <v>847</v>
      </c>
      <c r="C699" s="62" t="s">
        <v>609</v>
      </c>
      <c r="D699" s="63" t="s">
        <v>617</v>
      </c>
      <c r="E699" s="63">
        <v>320</v>
      </c>
      <c r="F699" s="69">
        <v>35809367</v>
      </c>
      <c r="G699" s="69">
        <v>0</v>
      </c>
      <c r="H699" s="64">
        <f>SUM(F699:G699)</f>
        <v>35809367</v>
      </c>
    </row>
    <row r="700" spans="1:8" s="33" customFormat="1" ht="47.25">
      <c r="A700" s="65" t="s">
        <v>618</v>
      </c>
      <c r="B700" s="108">
        <v>847</v>
      </c>
      <c r="C700" s="62" t="s">
        <v>609</v>
      </c>
      <c r="D700" s="63" t="s">
        <v>619</v>
      </c>
      <c r="E700" s="63"/>
      <c r="F700" s="69">
        <f>F703+F701</f>
        <v>49261</v>
      </c>
      <c r="G700" s="69">
        <f>G703+G701</f>
        <v>0</v>
      </c>
      <c r="H700" s="64">
        <f>SUM(F700:G700)</f>
        <v>49261</v>
      </c>
    </row>
    <row r="701" spans="1:8" s="33" customFormat="1" ht="31.5">
      <c r="A701" s="68" t="s">
        <v>121</v>
      </c>
      <c r="B701" s="108">
        <v>847</v>
      </c>
      <c r="C701" s="62" t="s">
        <v>609</v>
      </c>
      <c r="D701" s="63" t="s">
        <v>619</v>
      </c>
      <c r="E701" s="63">
        <v>200</v>
      </c>
      <c r="F701" s="69">
        <f>F702</f>
        <v>488</v>
      </c>
      <c r="G701" s="69">
        <f>G702</f>
        <v>0</v>
      </c>
      <c r="H701" s="64">
        <f>SUM(F701:G701)</f>
        <v>488</v>
      </c>
    </row>
    <row r="702" spans="1:8" s="33" customFormat="1" ht="31.5">
      <c r="A702" s="65" t="s">
        <v>123</v>
      </c>
      <c r="B702" s="108">
        <v>847</v>
      </c>
      <c r="C702" s="62" t="s">
        <v>609</v>
      </c>
      <c r="D702" s="63" t="s">
        <v>619</v>
      </c>
      <c r="E702" s="63">
        <v>240</v>
      </c>
      <c r="F702" s="69">
        <v>488</v>
      </c>
      <c r="G702" s="69">
        <v>0</v>
      </c>
      <c r="H702" s="64">
        <f>SUM(F702:G702)</f>
        <v>488</v>
      </c>
    </row>
    <row r="703" spans="1:9" s="45" customFormat="1" ht="15.75">
      <c r="A703" s="65" t="s">
        <v>597</v>
      </c>
      <c r="B703" s="108">
        <v>847</v>
      </c>
      <c r="C703" s="62" t="s">
        <v>609</v>
      </c>
      <c r="D703" s="63" t="s">
        <v>619</v>
      </c>
      <c r="E703" s="63">
        <v>300</v>
      </c>
      <c r="F703" s="69">
        <f>F704</f>
        <v>48773</v>
      </c>
      <c r="G703" s="69">
        <f>G704</f>
        <v>0</v>
      </c>
      <c r="H703" s="64">
        <f>SUM(F703:G703)</f>
        <v>48773</v>
      </c>
      <c r="I703" s="33"/>
    </row>
    <row r="704" spans="1:8" s="33" customFormat="1" ht="15.75">
      <c r="A704" s="65" t="s">
        <v>603</v>
      </c>
      <c r="B704" s="108">
        <v>847</v>
      </c>
      <c r="C704" s="62" t="s">
        <v>609</v>
      </c>
      <c r="D704" s="63" t="s">
        <v>619</v>
      </c>
      <c r="E704" s="63">
        <v>310</v>
      </c>
      <c r="F704" s="69">
        <v>48773</v>
      </c>
      <c r="G704" s="69">
        <v>0</v>
      </c>
      <c r="H704" s="64">
        <f>SUM(F704:G704)</f>
        <v>48773</v>
      </c>
    </row>
    <row r="705" spans="1:9" s="86" customFormat="1" ht="31.5">
      <c r="A705" s="65" t="s">
        <v>620</v>
      </c>
      <c r="B705" s="108">
        <v>847</v>
      </c>
      <c r="C705" s="62" t="s">
        <v>609</v>
      </c>
      <c r="D705" s="63" t="s">
        <v>621</v>
      </c>
      <c r="E705" s="63"/>
      <c r="F705" s="69">
        <f>F708+F706</f>
        <v>500000</v>
      </c>
      <c r="G705" s="69">
        <f>G708+G706</f>
        <v>0</v>
      </c>
      <c r="H705" s="64">
        <f>SUM(F705:G705)</f>
        <v>500000</v>
      </c>
      <c r="I705" s="85"/>
    </row>
    <row r="706" spans="1:9" s="45" customFormat="1" ht="31.5">
      <c r="A706" s="68" t="s">
        <v>121</v>
      </c>
      <c r="B706" s="108">
        <v>847</v>
      </c>
      <c r="C706" s="62" t="s">
        <v>609</v>
      </c>
      <c r="D706" s="63" t="s">
        <v>621</v>
      </c>
      <c r="E706" s="63">
        <v>200</v>
      </c>
      <c r="F706" s="69">
        <f>F707</f>
        <v>5000</v>
      </c>
      <c r="G706" s="69">
        <f>G707</f>
        <v>0</v>
      </c>
      <c r="H706" s="64">
        <f>SUM(F706:G706)</f>
        <v>5000</v>
      </c>
      <c r="I706" s="33"/>
    </row>
    <row r="707" spans="1:9" s="45" customFormat="1" ht="31.5">
      <c r="A707" s="65" t="s">
        <v>123</v>
      </c>
      <c r="B707" s="108">
        <v>847</v>
      </c>
      <c r="C707" s="62" t="s">
        <v>609</v>
      </c>
      <c r="D707" s="63" t="s">
        <v>621</v>
      </c>
      <c r="E707" s="63">
        <v>240</v>
      </c>
      <c r="F707" s="69">
        <v>5000</v>
      </c>
      <c r="G707" s="69">
        <v>0</v>
      </c>
      <c r="H707" s="64">
        <f>SUM(F707:G707)</f>
        <v>5000</v>
      </c>
      <c r="I707" s="33"/>
    </row>
    <row r="708" spans="1:9" s="45" customFormat="1" ht="15.75">
      <c r="A708" s="65" t="s">
        <v>597</v>
      </c>
      <c r="B708" s="108">
        <v>847</v>
      </c>
      <c r="C708" s="62" t="s">
        <v>609</v>
      </c>
      <c r="D708" s="63" t="s">
        <v>621</v>
      </c>
      <c r="E708" s="63">
        <v>300</v>
      </c>
      <c r="F708" s="69">
        <f>F709</f>
        <v>495000</v>
      </c>
      <c r="G708" s="69">
        <f>G709</f>
        <v>0</v>
      </c>
      <c r="H708" s="64">
        <f>SUM(F708:G708)</f>
        <v>495000</v>
      </c>
      <c r="I708" s="33"/>
    </row>
    <row r="709" spans="1:9" s="45" customFormat="1" ht="15.75">
      <c r="A709" s="65" t="s">
        <v>603</v>
      </c>
      <c r="B709" s="108">
        <v>847</v>
      </c>
      <c r="C709" s="62" t="s">
        <v>609</v>
      </c>
      <c r="D709" s="63" t="s">
        <v>621</v>
      </c>
      <c r="E709" s="63">
        <v>310</v>
      </c>
      <c r="F709" s="69">
        <v>495000</v>
      </c>
      <c r="G709" s="69">
        <v>0</v>
      </c>
      <c r="H709" s="64">
        <f>SUM(F709:G709)</f>
        <v>495000</v>
      </c>
      <c r="I709" s="33"/>
    </row>
    <row r="710" spans="1:9" s="45" customFormat="1" ht="63">
      <c r="A710" s="65" t="s">
        <v>622</v>
      </c>
      <c r="B710" s="108">
        <v>847</v>
      </c>
      <c r="C710" s="62" t="s">
        <v>609</v>
      </c>
      <c r="D710" s="63" t="s">
        <v>623</v>
      </c>
      <c r="E710" s="63"/>
      <c r="F710" s="69">
        <f>SUM(F713,F711)</f>
        <v>100000</v>
      </c>
      <c r="G710" s="69">
        <f>SUM(G713,G711)</f>
        <v>0</v>
      </c>
      <c r="H710" s="64">
        <f>SUM(F710:G710)</f>
        <v>100000</v>
      </c>
      <c r="I710" s="33"/>
    </row>
    <row r="711" spans="1:9" s="45" customFormat="1" ht="31.5">
      <c r="A711" s="68" t="s">
        <v>121</v>
      </c>
      <c r="B711" s="108">
        <v>847</v>
      </c>
      <c r="C711" s="62" t="s">
        <v>609</v>
      </c>
      <c r="D711" s="63" t="s">
        <v>623</v>
      </c>
      <c r="E711" s="63">
        <v>200</v>
      </c>
      <c r="F711" s="69">
        <f>F712</f>
        <v>1000</v>
      </c>
      <c r="G711" s="69">
        <f>G712</f>
        <v>0</v>
      </c>
      <c r="H711" s="64">
        <f>SUM(F711:G711)</f>
        <v>1000</v>
      </c>
      <c r="I711" s="33"/>
    </row>
    <row r="712" spans="1:9" s="45" customFormat="1" ht="31.5">
      <c r="A712" s="65" t="s">
        <v>123</v>
      </c>
      <c r="B712" s="108">
        <v>847</v>
      </c>
      <c r="C712" s="62" t="s">
        <v>609</v>
      </c>
      <c r="D712" s="63" t="s">
        <v>623</v>
      </c>
      <c r="E712" s="63">
        <v>240</v>
      </c>
      <c r="F712" s="69">
        <v>1000</v>
      </c>
      <c r="G712" s="69">
        <v>0</v>
      </c>
      <c r="H712" s="64">
        <f>SUM(F712:G712)</f>
        <v>1000</v>
      </c>
      <c r="I712" s="33"/>
    </row>
    <row r="713" spans="1:9" s="45" customFormat="1" ht="15.75">
      <c r="A713" s="65" t="s">
        <v>597</v>
      </c>
      <c r="B713" s="108">
        <v>847</v>
      </c>
      <c r="C713" s="62" t="s">
        <v>609</v>
      </c>
      <c r="D713" s="63" t="s">
        <v>623</v>
      </c>
      <c r="E713" s="63">
        <v>300</v>
      </c>
      <c r="F713" s="69">
        <f>F714</f>
        <v>99000</v>
      </c>
      <c r="G713" s="69">
        <f>G714</f>
        <v>0</v>
      </c>
      <c r="H713" s="64">
        <f>SUM(F713:G713)</f>
        <v>99000</v>
      </c>
      <c r="I713" s="33"/>
    </row>
    <row r="714" spans="1:9" s="45" customFormat="1" ht="15.75">
      <c r="A714" s="65" t="s">
        <v>603</v>
      </c>
      <c r="B714" s="108">
        <v>847</v>
      </c>
      <c r="C714" s="62" t="s">
        <v>609</v>
      </c>
      <c r="D714" s="63" t="s">
        <v>623</v>
      </c>
      <c r="E714" s="63">
        <v>310</v>
      </c>
      <c r="F714" s="69">
        <v>99000</v>
      </c>
      <c r="G714" s="69">
        <v>0</v>
      </c>
      <c r="H714" s="64">
        <f>SUM(F714:G714)</f>
        <v>99000</v>
      </c>
      <c r="I714" s="33"/>
    </row>
    <row r="715" spans="1:8" s="33" customFormat="1" ht="31.5">
      <c r="A715" s="65" t="s">
        <v>624</v>
      </c>
      <c r="B715" s="108">
        <v>847</v>
      </c>
      <c r="C715" s="62" t="s">
        <v>609</v>
      </c>
      <c r="D715" s="63" t="s">
        <v>625</v>
      </c>
      <c r="E715" s="63"/>
      <c r="F715" s="69">
        <f>F718+F716</f>
        <v>650000</v>
      </c>
      <c r="G715" s="69">
        <f>G718+G716</f>
        <v>0</v>
      </c>
      <c r="H715" s="64">
        <f>SUM(F715:G715)</f>
        <v>650000</v>
      </c>
    </row>
    <row r="716" spans="1:9" s="45" customFormat="1" ht="31.5">
      <c r="A716" s="68" t="s">
        <v>121</v>
      </c>
      <c r="B716" s="108">
        <v>847</v>
      </c>
      <c r="C716" s="62" t="s">
        <v>609</v>
      </c>
      <c r="D716" s="63" t="s">
        <v>625</v>
      </c>
      <c r="E716" s="63">
        <v>200</v>
      </c>
      <c r="F716" s="69">
        <f>F717</f>
        <v>128000</v>
      </c>
      <c r="G716" s="69">
        <f>G717</f>
        <v>0</v>
      </c>
      <c r="H716" s="64">
        <f>SUM(F716:G716)</f>
        <v>128000</v>
      </c>
      <c r="I716" s="33"/>
    </row>
    <row r="717" spans="1:9" s="45" customFormat="1" ht="31.5">
      <c r="A717" s="65" t="s">
        <v>123</v>
      </c>
      <c r="B717" s="108">
        <v>847</v>
      </c>
      <c r="C717" s="62">
        <v>1003</v>
      </c>
      <c r="D717" s="63" t="s">
        <v>625</v>
      </c>
      <c r="E717" s="63">
        <v>240</v>
      </c>
      <c r="F717" s="69">
        <v>128000</v>
      </c>
      <c r="G717" s="69">
        <v>0</v>
      </c>
      <c r="H717" s="64">
        <f>SUM(F717:G717)</f>
        <v>128000</v>
      </c>
      <c r="I717" s="33"/>
    </row>
    <row r="718" spans="1:9" s="45" customFormat="1" ht="15.75">
      <c r="A718" s="65" t="s">
        <v>597</v>
      </c>
      <c r="B718" s="108">
        <v>847</v>
      </c>
      <c r="C718" s="62" t="s">
        <v>609</v>
      </c>
      <c r="D718" s="63" t="s">
        <v>625</v>
      </c>
      <c r="E718" s="63">
        <v>300</v>
      </c>
      <c r="F718" s="69">
        <f>F719</f>
        <v>522000</v>
      </c>
      <c r="G718" s="69">
        <f>G719</f>
        <v>0</v>
      </c>
      <c r="H718" s="64">
        <f>SUM(F718:G718)</f>
        <v>522000</v>
      </c>
      <c r="I718" s="33"/>
    </row>
    <row r="719" spans="1:8" s="33" customFormat="1" ht="15.75">
      <c r="A719" s="65" t="s">
        <v>603</v>
      </c>
      <c r="B719" s="108">
        <v>847</v>
      </c>
      <c r="C719" s="62" t="s">
        <v>609</v>
      </c>
      <c r="D719" s="63" t="s">
        <v>625</v>
      </c>
      <c r="E719" s="63">
        <v>310</v>
      </c>
      <c r="F719" s="69">
        <v>522000</v>
      </c>
      <c r="G719" s="69">
        <v>0</v>
      </c>
      <c r="H719" s="64">
        <f>SUM(F719:G719)</f>
        <v>522000</v>
      </c>
    </row>
    <row r="720" spans="1:8" s="33" customFormat="1" ht="47.25">
      <c r="A720" s="65" t="s">
        <v>626</v>
      </c>
      <c r="B720" s="108">
        <v>847</v>
      </c>
      <c r="C720" s="62">
        <v>1003</v>
      </c>
      <c r="D720" s="63" t="s">
        <v>627</v>
      </c>
      <c r="E720" s="63"/>
      <c r="F720" s="69">
        <f>F723+F721</f>
        <v>5000000</v>
      </c>
      <c r="G720" s="69">
        <f>G723+G721</f>
        <v>0</v>
      </c>
      <c r="H720" s="64">
        <f>SUM(F720:G720)</f>
        <v>5000000</v>
      </c>
    </row>
    <row r="721" spans="1:9" s="45" customFormat="1" ht="31.5">
      <c r="A721" s="68" t="s">
        <v>121</v>
      </c>
      <c r="B721" s="108">
        <v>847</v>
      </c>
      <c r="C721" s="62">
        <v>1003</v>
      </c>
      <c r="D721" s="63" t="s">
        <v>627</v>
      </c>
      <c r="E721" s="63">
        <v>200</v>
      </c>
      <c r="F721" s="69">
        <f>F722</f>
        <v>50000</v>
      </c>
      <c r="G721" s="69">
        <f>G722</f>
        <v>0</v>
      </c>
      <c r="H721" s="64">
        <f>SUM(F721:G721)</f>
        <v>50000</v>
      </c>
      <c r="I721" s="33"/>
    </row>
    <row r="722" spans="1:9" s="45" customFormat="1" ht="31.5">
      <c r="A722" s="65" t="s">
        <v>123</v>
      </c>
      <c r="B722" s="108">
        <v>847</v>
      </c>
      <c r="C722" s="62">
        <v>1003</v>
      </c>
      <c r="D722" s="63" t="s">
        <v>627</v>
      </c>
      <c r="E722" s="63">
        <v>240</v>
      </c>
      <c r="F722" s="69">
        <v>50000</v>
      </c>
      <c r="G722" s="69">
        <v>0</v>
      </c>
      <c r="H722" s="64">
        <f>SUM(F722:G722)</f>
        <v>50000</v>
      </c>
      <c r="I722" s="33"/>
    </row>
    <row r="723" spans="1:8" s="33" customFormat="1" ht="15.75">
      <c r="A723" s="65" t="s">
        <v>597</v>
      </c>
      <c r="B723" s="108">
        <v>847</v>
      </c>
      <c r="C723" s="62" t="s">
        <v>609</v>
      </c>
      <c r="D723" s="63" t="s">
        <v>627</v>
      </c>
      <c r="E723" s="63">
        <v>300</v>
      </c>
      <c r="F723" s="69">
        <f>F724</f>
        <v>4950000</v>
      </c>
      <c r="G723" s="69">
        <f>G724</f>
        <v>0</v>
      </c>
      <c r="H723" s="64">
        <f>SUM(F723:G723)</f>
        <v>4950000</v>
      </c>
    </row>
    <row r="724" spans="1:9" s="45" customFormat="1" ht="15.75">
      <c r="A724" s="65" t="s">
        <v>603</v>
      </c>
      <c r="B724" s="108">
        <v>847</v>
      </c>
      <c r="C724" s="62" t="s">
        <v>609</v>
      </c>
      <c r="D724" s="63" t="s">
        <v>627</v>
      </c>
      <c r="E724" s="63">
        <v>310</v>
      </c>
      <c r="F724" s="69">
        <v>4950000</v>
      </c>
      <c r="G724" s="69">
        <v>0</v>
      </c>
      <c r="H724" s="64">
        <f>SUM(F724:G724)</f>
        <v>4950000</v>
      </c>
      <c r="I724" s="33"/>
    </row>
    <row r="725" spans="1:9" s="45" customFormat="1" ht="15.75">
      <c r="A725" s="65" t="s">
        <v>628</v>
      </c>
      <c r="B725" s="108">
        <v>847</v>
      </c>
      <c r="C725" s="62">
        <v>1003</v>
      </c>
      <c r="D725" s="63" t="s">
        <v>629</v>
      </c>
      <c r="E725" s="63"/>
      <c r="F725" s="69">
        <f>F728+F726</f>
        <v>330000</v>
      </c>
      <c r="G725" s="69">
        <f>G728+G726</f>
        <v>0</v>
      </c>
      <c r="H725" s="64">
        <f>SUM(F725:G725)</f>
        <v>330000</v>
      </c>
      <c r="I725" s="33"/>
    </row>
    <row r="726" spans="1:8" s="33" customFormat="1" ht="31.5">
      <c r="A726" s="68" t="s">
        <v>121</v>
      </c>
      <c r="B726" s="108">
        <v>847</v>
      </c>
      <c r="C726" s="62">
        <v>1003</v>
      </c>
      <c r="D726" s="63" t="s">
        <v>629</v>
      </c>
      <c r="E726" s="63">
        <v>200</v>
      </c>
      <c r="F726" s="69">
        <f>F727</f>
        <v>4000</v>
      </c>
      <c r="G726" s="69">
        <f>G727</f>
        <v>0</v>
      </c>
      <c r="H726" s="64">
        <f>SUM(F726:G726)</f>
        <v>4000</v>
      </c>
    </row>
    <row r="727" spans="1:8" s="33" customFormat="1" ht="31.5">
      <c r="A727" s="65" t="s">
        <v>123</v>
      </c>
      <c r="B727" s="108">
        <v>847</v>
      </c>
      <c r="C727" s="62">
        <v>1003</v>
      </c>
      <c r="D727" s="63" t="s">
        <v>629</v>
      </c>
      <c r="E727" s="63">
        <v>240</v>
      </c>
      <c r="F727" s="69">
        <v>4000</v>
      </c>
      <c r="G727" s="69">
        <v>0</v>
      </c>
      <c r="H727" s="64">
        <f>SUM(F727:G727)</f>
        <v>4000</v>
      </c>
    </row>
    <row r="728" spans="1:8" s="33" customFormat="1" ht="15.75">
      <c r="A728" s="65" t="s">
        <v>597</v>
      </c>
      <c r="B728" s="108">
        <v>847</v>
      </c>
      <c r="C728" s="62" t="s">
        <v>609</v>
      </c>
      <c r="D728" s="63" t="s">
        <v>629</v>
      </c>
      <c r="E728" s="63">
        <v>300</v>
      </c>
      <c r="F728" s="69">
        <f>F729</f>
        <v>326000</v>
      </c>
      <c r="G728" s="69">
        <f>G729</f>
        <v>0</v>
      </c>
      <c r="H728" s="64">
        <f>SUM(F728:G728)</f>
        <v>326000</v>
      </c>
    </row>
    <row r="729" spans="1:8" s="33" customFormat="1" ht="15.75">
      <c r="A729" s="65" t="s">
        <v>603</v>
      </c>
      <c r="B729" s="108">
        <v>847</v>
      </c>
      <c r="C729" s="62" t="s">
        <v>609</v>
      </c>
      <c r="D729" s="63" t="s">
        <v>629</v>
      </c>
      <c r="E729" s="63">
        <v>310</v>
      </c>
      <c r="F729" s="69">
        <v>326000</v>
      </c>
      <c r="G729" s="69">
        <v>0</v>
      </c>
      <c r="H729" s="64">
        <f>SUM(F729:G729)</f>
        <v>326000</v>
      </c>
    </row>
    <row r="730" spans="1:8" s="33" customFormat="1" ht="47.25">
      <c r="A730" s="65" t="s">
        <v>630</v>
      </c>
      <c r="B730" s="108">
        <v>847</v>
      </c>
      <c r="C730" s="62" t="s">
        <v>609</v>
      </c>
      <c r="D730" s="63" t="s">
        <v>631</v>
      </c>
      <c r="E730" s="63"/>
      <c r="F730" s="69">
        <f>F733+F731</f>
        <v>17956483</v>
      </c>
      <c r="G730" s="69">
        <f>G733+G731</f>
        <v>0</v>
      </c>
      <c r="H730" s="64">
        <f>SUM(F730:G730)</f>
        <v>17956483</v>
      </c>
    </row>
    <row r="731" spans="1:8" s="33" customFormat="1" ht="31.5">
      <c r="A731" s="68" t="s">
        <v>121</v>
      </c>
      <c r="B731" s="108">
        <v>847</v>
      </c>
      <c r="C731" s="62" t="s">
        <v>609</v>
      </c>
      <c r="D731" s="63" t="s">
        <v>631</v>
      </c>
      <c r="E731" s="63">
        <v>200</v>
      </c>
      <c r="F731" s="69">
        <f>F732</f>
        <v>165200</v>
      </c>
      <c r="G731" s="69">
        <f>G732</f>
        <v>0</v>
      </c>
      <c r="H731" s="64">
        <f>SUM(F731:G731)</f>
        <v>165200</v>
      </c>
    </row>
    <row r="732" spans="1:9" s="45" customFormat="1" ht="31.5">
      <c r="A732" s="65" t="s">
        <v>123</v>
      </c>
      <c r="B732" s="108">
        <v>847</v>
      </c>
      <c r="C732" s="62" t="s">
        <v>609</v>
      </c>
      <c r="D732" s="63" t="s">
        <v>631</v>
      </c>
      <c r="E732" s="63">
        <v>240</v>
      </c>
      <c r="F732" s="69">
        <v>165200</v>
      </c>
      <c r="G732" s="69">
        <v>0</v>
      </c>
      <c r="H732" s="64">
        <f>SUM(F732:G732)</f>
        <v>165200</v>
      </c>
      <c r="I732" s="33"/>
    </row>
    <row r="733" spans="1:8" s="33" customFormat="1" ht="15.75">
      <c r="A733" s="65" t="s">
        <v>597</v>
      </c>
      <c r="B733" s="108">
        <v>847</v>
      </c>
      <c r="C733" s="62" t="s">
        <v>609</v>
      </c>
      <c r="D733" s="63" t="s">
        <v>631</v>
      </c>
      <c r="E733" s="63">
        <v>300</v>
      </c>
      <c r="F733" s="69">
        <f>F734</f>
        <v>17791283</v>
      </c>
      <c r="G733" s="69">
        <f>G734</f>
        <v>0</v>
      </c>
      <c r="H733" s="64">
        <f>SUM(F733:G733)</f>
        <v>17791283</v>
      </c>
    </row>
    <row r="734" spans="1:9" s="45" customFormat="1" ht="15.75">
      <c r="A734" s="65" t="s">
        <v>603</v>
      </c>
      <c r="B734" s="108">
        <v>847</v>
      </c>
      <c r="C734" s="62" t="s">
        <v>609</v>
      </c>
      <c r="D734" s="63" t="s">
        <v>631</v>
      </c>
      <c r="E734" s="63">
        <v>310</v>
      </c>
      <c r="F734" s="69">
        <v>17791283</v>
      </c>
      <c r="G734" s="69">
        <v>0</v>
      </c>
      <c r="H734" s="64">
        <f>SUM(F734:G734)</f>
        <v>17791283</v>
      </c>
      <c r="I734" s="33"/>
    </row>
    <row r="735" spans="1:9" s="45" customFormat="1" ht="47.25">
      <c r="A735" s="65" t="s">
        <v>632</v>
      </c>
      <c r="B735" s="108">
        <v>847</v>
      </c>
      <c r="C735" s="62" t="s">
        <v>609</v>
      </c>
      <c r="D735" s="63" t="s">
        <v>633</v>
      </c>
      <c r="E735" s="63"/>
      <c r="F735" s="69">
        <f>F736</f>
        <v>2062158</v>
      </c>
      <c r="G735" s="69">
        <f>G736</f>
        <v>0</v>
      </c>
      <c r="H735" s="64">
        <f>SUM(F735:G735)</f>
        <v>2062158</v>
      </c>
      <c r="I735" s="33"/>
    </row>
    <row r="736" spans="1:9" s="45" customFormat="1" ht="15.75">
      <c r="A736" s="65" t="s">
        <v>597</v>
      </c>
      <c r="B736" s="108">
        <v>847</v>
      </c>
      <c r="C736" s="62" t="s">
        <v>609</v>
      </c>
      <c r="D736" s="63" t="s">
        <v>633</v>
      </c>
      <c r="E736" s="63">
        <v>300</v>
      </c>
      <c r="F736" s="69">
        <f>F737</f>
        <v>2062158</v>
      </c>
      <c r="G736" s="69">
        <f>G737</f>
        <v>0</v>
      </c>
      <c r="H736" s="64">
        <f>SUM(F736:G736)</f>
        <v>2062158</v>
      </c>
      <c r="I736" s="33"/>
    </row>
    <row r="737" spans="1:8" s="33" customFormat="1" ht="15.75">
      <c r="A737" s="65" t="s">
        <v>603</v>
      </c>
      <c r="B737" s="108">
        <v>847</v>
      </c>
      <c r="C737" s="62" t="s">
        <v>609</v>
      </c>
      <c r="D737" s="63" t="s">
        <v>633</v>
      </c>
      <c r="E737" s="63">
        <v>310</v>
      </c>
      <c r="F737" s="69">
        <v>2062158</v>
      </c>
      <c r="G737" s="69">
        <v>0</v>
      </c>
      <c r="H737" s="64">
        <f>SUM(F737:G737)</f>
        <v>2062158</v>
      </c>
    </row>
    <row r="738" spans="1:8" s="33" customFormat="1" ht="15.75">
      <c r="A738" s="60" t="s">
        <v>250</v>
      </c>
      <c r="B738" s="108">
        <v>847</v>
      </c>
      <c r="C738" s="62">
        <v>1003</v>
      </c>
      <c r="D738" s="63" t="s">
        <v>251</v>
      </c>
      <c r="E738" s="63"/>
      <c r="F738" s="66">
        <f>SUM(F739,F742,F745,F748)</f>
        <v>3550000</v>
      </c>
      <c r="G738" s="66">
        <f>SUM(G739,G742,G745,G748)</f>
        <v>300000</v>
      </c>
      <c r="H738" s="64">
        <f>SUM(F738:G738)</f>
        <v>3850000</v>
      </c>
    </row>
    <row r="739" spans="1:9" s="45" customFormat="1" ht="78.75">
      <c r="A739" s="65" t="s">
        <v>322</v>
      </c>
      <c r="B739" s="108">
        <v>847</v>
      </c>
      <c r="C739" s="62">
        <v>1003</v>
      </c>
      <c r="D739" s="63" t="s">
        <v>323</v>
      </c>
      <c r="E739" s="63"/>
      <c r="F739" s="69">
        <f>F740</f>
        <v>600000</v>
      </c>
      <c r="G739" s="69">
        <f>G740</f>
        <v>0</v>
      </c>
      <c r="H739" s="64">
        <f>SUM(F739:G739)</f>
        <v>600000</v>
      </c>
      <c r="I739" s="33"/>
    </row>
    <row r="740" spans="1:9" s="45" customFormat="1" ht="31.5">
      <c r="A740" s="68" t="s">
        <v>121</v>
      </c>
      <c r="B740" s="108">
        <v>847</v>
      </c>
      <c r="C740" s="62">
        <v>1003</v>
      </c>
      <c r="D740" s="63" t="s">
        <v>323</v>
      </c>
      <c r="E740" s="63">
        <v>200</v>
      </c>
      <c r="F740" s="69">
        <f>F741</f>
        <v>600000</v>
      </c>
      <c r="G740" s="69">
        <f>G741</f>
        <v>0</v>
      </c>
      <c r="H740" s="64">
        <f>SUM(F740:G740)</f>
        <v>600000</v>
      </c>
      <c r="I740" s="33"/>
    </row>
    <row r="741" spans="1:8" s="33" customFormat="1" ht="31.5">
      <c r="A741" s="68" t="s">
        <v>123</v>
      </c>
      <c r="B741" s="108">
        <v>847</v>
      </c>
      <c r="C741" s="62">
        <v>1003</v>
      </c>
      <c r="D741" s="63" t="s">
        <v>323</v>
      </c>
      <c r="E741" s="63">
        <v>240</v>
      </c>
      <c r="F741" s="69">
        <v>600000</v>
      </c>
      <c r="G741" s="69">
        <v>0</v>
      </c>
      <c r="H741" s="64">
        <f>SUM(F741:G741)</f>
        <v>600000</v>
      </c>
    </row>
    <row r="742" spans="1:9" s="45" customFormat="1" ht="31.5">
      <c r="A742" s="83" t="s">
        <v>634</v>
      </c>
      <c r="B742" s="108">
        <v>847</v>
      </c>
      <c r="C742" s="62">
        <v>1003</v>
      </c>
      <c r="D742" s="63" t="s">
        <v>635</v>
      </c>
      <c r="E742" s="63"/>
      <c r="F742" s="69">
        <f>F743</f>
        <v>1550000</v>
      </c>
      <c r="G742" s="69">
        <f>G743</f>
        <v>300000</v>
      </c>
      <c r="H742" s="64">
        <f>SUM(F742:G742)</f>
        <v>1850000</v>
      </c>
      <c r="I742" s="33"/>
    </row>
    <row r="743" spans="1:9" s="45" customFormat="1" ht="31.5">
      <c r="A743" s="68" t="s">
        <v>121</v>
      </c>
      <c r="B743" s="108">
        <v>847</v>
      </c>
      <c r="C743" s="62">
        <v>1003</v>
      </c>
      <c r="D743" s="63" t="s">
        <v>635</v>
      </c>
      <c r="E743" s="63">
        <v>200</v>
      </c>
      <c r="F743" s="69">
        <f>F744</f>
        <v>1550000</v>
      </c>
      <c r="G743" s="69">
        <f>G744</f>
        <v>300000</v>
      </c>
      <c r="H743" s="64">
        <f>SUM(F743:G743)</f>
        <v>1850000</v>
      </c>
      <c r="I743" s="33"/>
    </row>
    <row r="744" spans="1:8" s="33" customFormat="1" ht="31.5">
      <c r="A744" s="68" t="s">
        <v>123</v>
      </c>
      <c r="B744" s="108">
        <v>847</v>
      </c>
      <c r="C744" s="62">
        <v>1003</v>
      </c>
      <c r="D744" s="63" t="s">
        <v>635</v>
      </c>
      <c r="E744" s="63">
        <v>240</v>
      </c>
      <c r="F744" s="69">
        <v>1550000</v>
      </c>
      <c r="G744" s="69">
        <v>300000</v>
      </c>
      <c r="H744" s="64">
        <f>SUM(F744:G744)</f>
        <v>1850000</v>
      </c>
    </row>
    <row r="745" spans="1:9" s="45" customFormat="1" ht="31.5">
      <c r="A745" s="65" t="s">
        <v>636</v>
      </c>
      <c r="B745" s="108">
        <v>847</v>
      </c>
      <c r="C745" s="62">
        <v>1003</v>
      </c>
      <c r="D745" s="63" t="s">
        <v>637</v>
      </c>
      <c r="E745" s="63"/>
      <c r="F745" s="69">
        <f>F746</f>
        <v>1200000</v>
      </c>
      <c r="G745" s="69">
        <f>G746</f>
        <v>0</v>
      </c>
      <c r="H745" s="64">
        <f>SUM(F745:G745)</f>
        <v>1200000</v>
      </c>
      <c r="I745" s="33"/>
    </row>
    <row r="746" spans="1:9" s="45" customFormat="1" ht="31.5">
      <c r="A746" s="68" t="s">
        <v>121</v>
      </c>
      <c r="B746" s="108">
        <v>847</v>
      </c>
      <c r="C746" s="62">
        <v>1003</v>
      </c>
      <c r="D746" s="63" t="s">
        <v>637</v>
      </c>
      <c r="E746" s="63">
        <v>200</v>
      </c>
      <c r="F746" s="69">
        <f>F747</f>
        <v>1200000</v>
      </c>
      <c r="G746" s="69">
        <f>G747</f>
        <v>0</v>
      </c>
      <c r="H746" s="64">
        <f>SUM(F746:G746)</f>
        <v>1200000</v>
      </c>
      <c r="I746" s="33"/>
    </row>
    <row r="747" spans="1:9" s="45" customFormat="1" ht="31.5">
      <c r="A747" s="68" t="s">
        <v>123</v>
      </c>
      <c r="B747" s="108">
        <v>847</v>
      </c>
      <c r="C747" s="62">
        <v>1003</v>
      </c>
      <c r="D747" s="63" t="s">
        <v>637</v>
      </c>
      <c r="E747" s="63">
        <v>240</v>
      </c>
      <c r="F747" s="69">
        <v>1200000</v>
      </c>
      <c r="G747" s="69">
        <v>0</v>
      </c>
      <c r="H747" s="64">
        <f>SUM(F747:G747)</f>
        <v>1200000</v>
      </c>
      <c r="I747" s="33"/>
    </row>
    <row r="748" spans="1:8" s="33" customFormat="1" ht="31.5">
      <c r="A748" s="65" t="s">
        <v>638</v>
      </c>
      <c r="B748" s="108">
        <v>847</v>
      </c>
      <c r="C748" s="62">
        <v>1003</v>
      </c>
      <c r="D748" s="63" t="s">
        <v>639</v>
      </c>
      <c r="E748" s="63"/>
      <c r="F748" s="69">
        <f>F749</f>
        <v>200000</v>
      </c>
      <c r="G748" s="69">
        <f>G749</f>
        <v>0</v>
      </c>
      <c r="H748" s="64">
        <f>SUM(F748:G748)</f>
        <v>200000</v>
      </c>
    </row>
    <row r="749" spans="1:9" s="45" customFormat="1" ht="31.5">
      <c r="A749" s="68" t="s">
        <v>121</v>
      </c>
      <c r="B749" s="108">
        <v>847</v>
      </c>
      <c r="C749" s="62">
        <v>1003</v>
      </c>
      <c r="D749" s="63" t="s">
        <v>639</v>
      </c>
      <c r="E749" s="63">
        <v>200</v>
      </c>
      <c r="F749" s="69">
        <f>F750</f>
        <v>200000</v>
      </c>
      <c r="G749" s="69">
        <f>G750</f>
        <v>0</v>
      </c>
      <c r="H749" s="64">
        <f>SUM(F749:G749)</f>
        <v>200000</v>
      </c>
      <c r="I749" s="33"/>
    </row>
    <row r="750" spans="1:9" s="86" customFormat="1" ht="31.5">
      <c r="A750" s="68" t="s">
        <v>123</v>
      </c>
      <c r="B750" s="108">
        <v>847</v>
      </c>
      <c r="C750" s="62">
        <v>1003</v>
      </c>
      <c r="D750" s="63" t="s">
        <v>639</v>
      </c>
      <c r="E750" s="63">
        <v>240</v>
      </c>
      <c r="F750" s="69">
        <v>200000</v>
      </c>
      <c r="G750" s="69">
        <v>0</v>
      </c>
      <c r="H750" s="64">
        <f>SUM(F750:G750)</f>
        <v>200000</v>
      </c>
      <c r="I750" s="85"/>
    </row>
    <row r="751" spans="1:8" s="33" customFormat="1" ht="15.75">
      <c r="A751" s="65" t="s">
        <v>640</v>
      </c>
      <c r="B751" s="108">
        <v>847</v>
      </c>
      <c r="C751" s="62">
        <v>1003</v>
      </c>
      <c r="D751" s="63" t="s">
        <v>641</v>
      </c>
      <c r="E751" s="63"/>
      <c r="F751" s="69">
        <f>F752</f>
        <v>10980000</v>
      </c>
      <c r="G751" s="69">
        <f>G752</f>
        <v>0</v>
      </c>
      <c r="H751" s="64">
        <f>SUM(F751:G751)</f>
        <v>10980000</v>
      </c>
    </row>
    <row r="752" spans="1:8" s="33" customFormat="1" ht="31.5">
      <c r="A752" s="65" t="s">
        <v>642</v>
      </c>
      <c r="B752" s="108">
        <v>847</v>
      </c>
      <c r="C752" s="62">
        <v>1003</v>
      </c>
      <c r="D752" s="63" t="s">
        <v>643</v>
      </c>
      <c r="E752" s="63"/>
      <c r="F752" s="69">
        <f>F755+F753</f>
        <v>10980000</v>
      </c>
      <c r="G752" s="69">
        <f>G755+G753</f>
        <v>0</v>
      </c>
      <c r="H752" s="64">
        <f>SUM(F752:G752)</f>
        <v>10980000</v>
      </c>
    </row>
    <row r="753" spans="1:8" s="33" customFormat="1" ht="31.5">
      <c r="A753" s="68" t="s">
        <v>121</v>
      </c>
      <c r="B753" s="108">
        <v>847</v>
      </c>
      <c r="C753" s="62">
        <v>1003</v>
      </c>
      <c r="D753" s="63" t="s">
        <v>643</v>
      </c>
      <c r="E753" s="63">
        <v>200</v>
      </c>
      <c r="F753" s="69">
        <f>F754</f>
        <v>108713</v>
      </c>
      <c r="G753" s="69">
        <f>G754</f>
        <v>0</v>
      </c>
      <c r="H753" s="64">
        <f>SUM(F753:G753)</f>
        <v>108713</v>
      </c>
    </row>
    <row r="754" spans="1:8" s="33" customFormat="1" ht="31.5">
      <c r="A754" s="68" t="s">
        <v>123</v>
      </c>
      <c r="B754" s="108">
        <v>847</v>
      </c>
      <c r="C754" s="62">
        <v>1003</v>
      </c>
      <c r="D754" s="63" t="s">
        <v>643</v>
      </c>
      <c r="E754" s="63">
        <v>240</v>
      </c>
      <c r="F754" s="69">
        <v>108713</v>
      </c>
      <c r="G754" s="69">
        <v>0</v>
      </c>
      <c r="H754" s="64">
        <f>SUM(F754:G754)</f>
        <v>108713</v>
      </c>
    </row>
    <row r="755" spans="1:8" s="33" customFormat="1" ht="15.75">
      <c r="A755" s="65" t="s">
        <v>597</v>
      </c>
      <c r="B755" s="108">
        <v>847</v>
      </c>
      <c r="C755" s="62">
        <v>1003</v>
      </c>
      <c r="D755" s="63" t="s">
        <v>643</v>
      </c>
      <c r="E755" s="63">
        <v>300</v>
      </c>
      <c r="F755" s="69">
        <f>F756</f>
        <v>10871287</v>
      </c>
      <c r="G755" s="69">
        <f>G756</f>
        <v>0</v>
      </c>
      <c r="H755" s="64">
        <f>SUM(F755:G755)</f>
        <v>10871287</v>
      </c>
    </row>
    <row r="756" spans="1:8" s="33" customFormat="1" ht="31.5">
      <c r="A756" s="65" t="s">
        <v>598</v>
      </c>
      <c r="B756" s="108">
        <v>847</v>
      </c>
      <c r="C756" s="62">
        <v>1003</v>
      </c>
      <c r="D756" s="63" t="s">
        <v>643</v>
      </c>
      <c r="E756" s="63">
        <v>320</v>
      </c>
      <c r="F756" s="69">
        <v>10871287</v>
      </c>
      <c r="G756" s="69">
        <v>0</v>
      </c>
      <c r="H756" s="64">
        <f>SUM(F756:G756)</f>
        <v>10871287</v>
      </c>
    </row>
    <row r="757" spans="1:9" s="45" customFormat="1" ht="15.75">
      <c r="A757" s="122" t="s">
        <v>644</v>
      </c>
      <c r="B757" s="56" t="s">
        <v>586</v>
      </c>
      <c r="C757" s="57" t="s">
        <v>645</v>
      </c>
      <c r="D757" s="63"/>
      <c r="E757" s="63"/>
      <c r="F757" s="107">
        <f>F758</f>
        <v>430990555.14</v>
      </c>
      <c r="G757" s="107">
        <f>G758</f>
        <v>2045879.56</v>
      </c>
      <c r="H757" s="58">
        <f>SUM(F757:G757)</f>
        <v>433036434.7</v>
      </c>
      <c r="I757" s="33"/>
    </row>
    <row r="758" spans="1:9" s="45" customFormat="1" ht="31.5">
      <c r="A758" s="65" t="s">
        <v>248</v>
      </c>
      <c r="B758" s="108">
        <v>847</v>
      </c>
      <c r="C758" s="62" t="s">
        <v>645</v>
      </c>
      <c r="D758" s="63" t="s">
        <v>249</v>
      </c>
      <c r="E758" s="63"/>
      <c r="F758" s="69">
        <f>F759+F788</f>
        <v>430990555.14</v>
      </c>
      <c r="G758" s="69">
        <f>G759+G788</f>
        <v>2045879.56</v>
      </c>
      <c r="H758" s="64">
        <f>SUM(F758:G758)</f>
        <v>433036434.7</v>
      </c>
      <c r="I758" s="33"/>
    </row>
    <row r="759" spans="1:9" s="45" customFormat="1" ht="47.25">
      <c r="A759" s="65" t="s">
        <v>440</v>
      </c>
      <c r="B759" s="108">
        <v>847</v>
      </c>
      <c r="C759" s="62" t="s">
        <v>645</v>
      </c>
      <c r="D759" s="63" t="s">
        <v>441</v>
      </c>
      <c r="E759" s="63"/>
      <c r="F759" s="69">
        <f>SUM(F760,F765,F768,F774,F779,F782,F771,F785)</f>
        <v>414413986</v>
      </c>
      <c r="G759" s="69">
        <f>SUM(G760,G765,G768,G774,G779,G782,G771,G785)</f>
        <v>2352768</v>
      </c>
      <c r="H759" s="64">
        <f>SUM(F759:G759)</f>
        <v>416766754</v>
      </c>
      <c r="I759" s="33"/>
    </row>
    <row r="760" spans="1:9" s="45" customFormat="1" ht="31.5">
      <c r="A760" s="65" t="s">
        <v>646</v>
      </c>
      <c r="B760" s="108">
        <v>847</v>
      </c>
      <c r="C760" s="62" t="s">
        <v>645</v>
      </c>
      <c r="D760" s="63" t="s">
        <v>647</v>
      </c>
      <c r="E760" s="63"/>
      <c r="F760" s="69">
        <f>F763+F761</f>
        <v>20286004</v>
      </c>
      <c r="G760" s="69">
        <f>G763+G761</f>
        <v>0</v>
      </c>
      <c r="H760" s="64">
        <f>SUM(F760:G760)</f>
        <v>20286004</v>
      </c>
      <c r="I760" s="33"/>
    </row>
    <row r="761" spans="1:9" s="45" customFormat="1" ht="31.5">
      <c r="A761" s="68" t="s">
        <v>121</v>
      </c>
      <c r="B761" s="108">
        <v>847</v>
      </c>
      <c r="C761" s="62" t="s">
        <v>645</v>
      </c>
      <c r="D761" s="63" t="s">
        <v>647</v>
      </c>
      <c r="E761" s="63">
        <v>200</v>
      </c>
      <c r="F761" s="69">
        <f>F762</f>
        <v>953442</v>
      </c>
      <c r="G761" s="69">
        <f>G762</f>
        <v>0</v>
      </c>
      <c r="H761" s="64">
        <f>SUM(F761:G761)</f>
        <v>953442</v>
      </c>
      <c r="I761" s="33"/>
    </row>
    <row r="762" spans="1:9" s="45" customFormat="1" ht="31.5">
      <c r="A762" s="65" t="s">
        <v>123</v>
      </c>
      <c r="B762" s="108">
        <v>847</v>
      </c>
      <c r="C762" s="62" t="s">
        <v>645</v>
      </c>
      <c r="D762" s="63" t="s">
        <v>647</v>
      </c>
      <c r="E762" s="63">
        <v>240</v>
      </c>
      <c r="F762" s="69">
        <v>953442</v>
      </c>
      <c r="G762" s="69">
        <v>0</v>
      </c>
      <c r="H762" s="64">
        <f>SUM(F762:G762)</f>
        <v>953442</v>
      </c>
      <c r="I762" s="33"/>
    </row>
    <row r="763" spans="1:9" s="45" customFormat="1" ht="15.75">
      <c r="A763" s="65" t="s">
        <v>597</v>
      </c>
      <c r="B763" s="108">
        <v>847</v>
      </c>
      <c r="C763" s="62" t="s">
        <v>645</v>
      </c>
      <c r="D763" s="63" t="s">
        <v>647</v>
      </c>
      <c r="E763" s="63">
        <v>300</v>
      </c>
      <c r="F763" s="69">
        <f>F764</f>
        <v>19332562</v>
      </c>
      <c r="G763" s="69">
        <f>G764</f>
        <v>0</v>
      </c>
      <c r="H763" s="64">
        <f>SUM(F763:G763)</f>
        <v>19332562</v>
      </c>
      <c r="I763" s="33"/>
    </row>
    <row r="764" spans="1:9" s="45" customFormat="1" ht="15.75">
      <c r="A764" s="65" t="s">
        <v>603</v>
      </c>
      <c r="B764" s="108">
        <v>847</v>
      </c>
      <c r="C764" s="62" t="s">
        <v>645</v>
      </c>
      <c r="D764" s="63" t="s">
        <v>647</v>
      </c>
      <c r="E764" s="63">
        <v>310</v>
      </c>
      <c r="F764" s="69">
        <v>19332562</v>
      </c>
      <c r="G764" s="69">
        <v>0</v>
      </c>
      <c r="H764" s="64">
        <f>SUM(F764:G764)</f>
        <v>19332562</v>
      </c>
      <c r="I764" s="33"/>
    </row>
    <row r="765" spans="1:9" s="45" customFormat="1" ht="78.75">
      <c r="A765" s="65" t="s">
        <v>648</v>
      </c>
      <c r="B765" s="108">
        <v>847</v>
      </c>
      <c r="C765" s="62" t="s">
        <v>645</v>
      </c>
      <c r="D765" s="63" t="s">
        <v>649</v>
      </c>
      <c r="E765" s="63"/>
      <c r="F765" s="69">
        <f>F766</f>
        <v>788461</v>
      </c>
      <c r="G765" s="69">
        <f>G766</f>
        <v>0</v>
      </c>
      <c r="H765" s="64">
        <f>SUM(F765:G765)</f>
        <v>788461</v>
      </c>
      <c r="I765" s="33"/>
    </row>
    <row r="766" spans="1:9" s="45" customFormat="1" ht="15.75">
      <c r="A766" s="65" t="s">
        <v>597</v>
      </c>
      <c r="B766" s="108">
        <v>847</v>
      </c>
      <c r="C766" s="62" t="s">
        <v>645</v>
      </c>
      <c r="D766" s="63" t="s">
        <v>649</v>
      </c>
      <c r="E766" s="63">
        <v>300</v>
      </c>
      <c r="F766" s="69">
        <f>F767</f>
        <v>788461</v>
      </c>
      <c r="G766" s="69">
        <f>G767</f>
        <v>0</v>
      </c>
      <c r="H766" s="64">
        <f>SUM(F766:G766)</f>
        <v>788461</v>
      </c>
      <c r="I766" s="33"/>
    </row>
    <row r="767" spans="1:9" s="45" customFormat="1" ht="15.75">
      <c r="A767" s="65" t="s">
        <v>603</v>
      </c>
      <c r="B767" s="108">
        <v>847</v>
      </c>
      <c r="C767" s="62" t="s">
        <v>645</v>
      </c>
      <c r="D767" s="63" t="s">
        <v>649</v>
      </c>
      <c r="E767" s="63">
        <v>310</v>
      </c>
      <c r="F767" s="69">
        <v>788461</v>
      </c>
      <c r="G767" s="69">
        <v>0</v>
      </c>
      <c r="H767" s="64">
        <f>SUM(F767:G767)</f>
        <v>788461</v>
      </c>
      <c r="I767" s="33"/>
    </row>
    <row r="768" spans="1:9" s="45" customFormat="1" ht="75" customHeight="1">
      <c r="A768" s="65" t="s">
        <v>650</v>
      </c>
      <c r="B768" s="108">
        <v>847</v>
      </c>
      <c r="C768" s="62" t="s">
        <v>645</v>
      </c>
      <c r="D768" s="63" t="s">
        <v>651</v>
      </c>
      <c r="E768" s="63"/>
      <c r="F768" s="69">
        <f>F769</f>
        <v>39541972</v>
      </c>
      <c r="G768" s="69">
        <f>G769</f>
        <v>0</v>
      </c>
      <c r="H768" s="64">
        <f>SUM(F768:G768)</f>
        <v>39541972</v>
      </c>
      <c r="I768" s="33"/>
    </row>
    <row r="769" spans="1:9" s="45" customFormat="1" ht="15.75">
      <c r="A769" s="65" t="s">
        <v>597</v>
      </c>
      <c r="B769" s="108">
        <v>847</v>
      </c>
      <c r="C769" s="62" t="s">
        <v>645</v>
      </c>
      <c r="D769" s="63" t="s">
        <v>651</v>
      </c>
      <c r="E769" s="63">
        <v>300</v>
      </c>
      <c r="F769" s="69">
        <f>F770</f>
        <v>39541972</v>
      </c>
      <c r="G769" s="69">
        <f>G770</f>
        <v>0</v>
      </c>
      <c r="H769" s="64">
        <f>SUM(F769:G769)</f>
        <v>39541972</v>
      </c>
      <c r="I769" s="33"/>
    </row>
    <row r="770" spans="1:8" s="33" customFormat="1" ht="15.75">
      <c r="A770" s="65" t="s">
        <v>603</v>
      </c>
      <c r="B770" s="108">
        <v>847</v>
      </c>
      <c r="C770" s="62" t="s">
        <v>645</v>
      </c>
      <c r="D770" s="63" t="s">
        <v>651</v>
      </c>
      <c r="E770" s="63">
        <v>310</v>
      </c>
      <c r="F770" s="69">
        <v>39541972</v>
      </c>
      <c r="G770" s="69">
        <v>0</v>
      </c>
      <c r="H770" s="64">
        <f>SUM(F770:G770)</f>
        <v>39541972</v>
      </c>
    </row>
    <row r="771" spans="1:8" s="33" customFormat="1" ht="33" customHeight="1">
      <c r="A771" s="65" t="s">
        <v>652</v>
      </c>
      <c r="B771" s="108">
        <v>847</v>
      </c>
      <c r="C771" s="62" t="s">
        <v>645</v>
      </c>
      <c r="D771" s="63" t="s">
        <v>653</v>
      </c>
      <c r="E771" s="63"/>
      <c r="F771" s="69">
        <f>F772</f>
        <v>140228550</v>
      </c>
      <c r="G771" s="69">
        <f>G772</f>
        <v>0</v>
      </c>
      <c r="H771" s="64">
        <f>SUM(F771:G771)</f>
        <v>140228550</v>
      </c>
    </row>
    <row r="772" spans="1:8" s="33" customFormat="1" ht="15.75">
      <c r="A772" s="65" t="s">
        <v>597</v>
      </c>
      <c r="B772" s="108">
        <v>847</v>
      </c>
      <c r="C772" s="62" t="s">
        <v>645</v>
      </c>
      <c r="D772" s="63" t="s">
        <v>653</v>
      </c>
      <c r="E772" s="63">
        <v>300</v>
      </c>
      <c r="F772" s="69">
        <f>F773</f>
        <v>140228550</v>
      </c>
      <c r="G772" s="69">
        <f>G773</f>
        <v>0</v>
      </c>
      <c r="H772" s="64">
        <f>SUM(F772:G772)</f>
        <v>140228550</v>
      </c>
    </row>
    <row r="773" spans="1:8" s="33" customFormat="1" ht="15.75">
      <c r="A773" s="65" t="s">
        <v>603</v>
      </c>
      <c r="B773" s="108">
        <v>847</v>
      </c>
      <c r="C773" s="62" t="s">
        <v>645</v>
      </c>
      <c r="D773" s="63" t="s">
        <v>653</v>
      </c>
      <c r="E773" s="63">
        <v>310</v>
      </c>
      <c r="F773" s="69">
        <v>140228550</v>
      </c>
      <c r="G773" s="69">
        <v>0</v>
      </c>
      <c r="H773" s="64">
        <f>SUM(F773:G773)</f>
        <v>140228550</v>
      </c>
    </row>
    <row r="774" spans="1:8" s="33" customFormat="1" ht="63">
      <c r="A774" s="65" t="s">
        <v>654</v>
      </c>
      <c r="B774" s="108">
        <v>847</v>
      </c>
      <c r="C774" s="62" t="s">
        <v>645</v>
      </c>
      <c r="D774" s="63" t="s">
        <v>655</v>
      </c>
      <c r="E774" s="63"/>
      <c r="F774" s="69">
        <f>F775+F777</f>
        <v>54280861</v>
      </c>
      <c r="G774" s="69">
        <f>G775+G777</f>
        <v>0</v>
      </c>
      <c r="H774" s="64">
        <f>SUM(F774:G774)</f>
        <v>54280861</v>
      </c>
    </row>
    <row r="775" spans="1:8" s="33" customFormat="1" ht="31.5">
      <c r="A775" s="68" t="s">
        <v>121</v>
      </c>
      <c r="B775" s="108">
        <v>847</v>
      </c>
      <c r="C775" s="62" t="s">
        <v>645</v>
      </c>
      <c r="D775" s="63" t="s">
        <v>655</v>
      </c>
      <c r="E775" s="63">
        <v>200</v>
      </c>
      <c r="F775" s="69">
        <f>F776</f>
        <v>439675</v>
      </c>
      <c r="G775" s="69">
        <f>G776</f>
        <v>0</v>
      </c>
      <c r="H775" s="64">
        <f>SUM(F775:G775)</f>
        <v>439675</v>
      </c>
    </row>
    <row r="776" spans="1:8" s="33" customFormat="1" ht="31.5">
      <c r="A776" s="65" t="s">
        <v>123</v>
      </c>
      <c r="B776" s="108">
        <v>847</v>
      </c>
      <c r="C776" s="62" t="s">
        <v>645</v>
      </c>
      <c r="D776" s="63" t="s">
        <v>655</v>
      </c>
      <c r="E776" s="63">
        <v>240</v>
      </c>
      <c r="F776" s="69">
        <v>439675</v>
      </c>
      <c r="G776" s="69">
        <v>0</v>
      </c>
      <c r="H776" s="64">
        <f>SUM(F776:G776)</f>
        <v>439675</v>
      </c>
    </row>
    <row r="777" spans="1:8" s="33" customFormat="1" ht="15.75">
      <c r="A777" s="65" t="s">
        <v>597</v>
      </c>
      <c r="B777" s="108">
        <v>847</v>
      </c>
      <c r="C777" s="62" t="s">
        <v>645</v>
      </c>
      <c r="D777" s="63" t="s">
        <v>655</v>
      </c>
      <c r="E777" s="63">
        <v>300</v>
      </c>
      <c r="F777" s="69">
        <f>F778</f>
        <v>53841186</v>
      </c>
      <c r="G777" s="69">
        <f>G778</f>
        <v>0</v>
      </c>
      <c r="H777" s="64">
        <f>SUM(F777:G777)</f>
        <v>53841186</v>
      </c>
    </row>
    <row r="778" spans="1:8" s="33" customFormat="1" ht="15.75">
      <c r="A778" s="65" t="s">
        <v>603</v>
      </c>
      <c r="B778" s="108">
        <v>847</v>
      </c>
      <c r="C778" s="62" t="s">
        <v>645</v>
      </c>
      <c r="D778" s="63" t="s">
        <v>655</v>
      </c>
      <c r="E778" s="63">
        <v>310</v>
      </c>
      <c r="F778" s="69">
        <v>53841186</v>
      </c>
      <c r="G778" s="69">
        <v>0</v>
      </c>
      <c r="H778" s="64">
        <f>SUM(F778:G778)</f>
        <v>53841186</v>
      </c>
    </row>
    <row r="779" spans="1:9" s="45" customFormat="1" ht="94.5">
      <c r="A779" s="65" t="s">
        <v>656</v>
      </c>
      <c r="B779" s="108">
        <v>847</v>
      </c>
      <c r="C779" s="62" t="s">
        <v>645</v>
      </c>
      <c r="D779" s="63" t="s">
        <v>657</v>
      </c>
      <c r="E779" s="63"/>
      <c r="F779" s="69">
        <f>F780</f>
        <v>85453830</v>
      </c>
      <c r="G779" s="69">
        <f>G780</f>
        <v>0</v>
      </c>
      <c r="H779" s="64">
        <f>SUM(F779:G779)</f>
        <v>85453830</v>
      </c>
      <c r="I779" s="33"/>
    </row>
    <row r="780" spans="1:9" s="45" customFormat="1" ht="15.75">
      <c r="A780" s="65" t="s">
        <v>597</v>
      </c>
      <c r="B780" s="108">
        <v>847</v>
      </c>
      <c r="C780" s="62" t="s">
        <v>645</v>
      </c>
      <c r="D780" s="63" t="s">
        <v>657</v>
      </c>
      <c r="E780" s="63">
        <v>300</v>
      </c>
      <c r="F780" s="69">
        <f>F781</f>
        <v>85453830</v>
      </c>
      <c r="G780" s="69">
        <f>G781</f>
        <v>0</v>
      </c>
      <c r="H780" s="64">
        <f>SUM(F780:G780)</f>
        <v>85453830</v>
      </c>
      <c r="I780" s="33"/>
    </row>
    <row r="781" spans="1:9" s="45" customFormat="1" ht="15.75">
      <c r="A781" s="65" t="s">
        <v>603</v>
      </c>
      <c r="B781" s="108">
        <v>847</v>
      </c>
      <c r="C781" s="62" t="s">
        <v>645</v>
      </c>
      <c r="D781" s="63" t="s">
        <v>657</v>
      </c>
      <c r="E781" s="63">
        <v>310</v>
      </c>
      <c r="F781" s="69">
        <v>85453830</v>
      </c>
      <c r="G781" s="69">
        <v>0</v>
      </c>
      <c r="H781" s="64">
        <f>SUM(F781:G781)</f>
        <v>85453830</v>
      </c>
      <c r="I781" s="33"/>
    </row>
    <row r="782" spans="1:8" s="33" customFormat="1" ht="63">
      <c r="A782" s="65" t="s">
        <v>658</v>
      </c>
      <c r="B782" s="108">
        <v>847</v>
      </c>
      <c r="C782" s="62" t="s">
        <v>645</v>
      </c>
      <c r="D782" s="63" t="s">
        <v>659</v>
      </c>
      <c r="E782" s="63"/>
      <c r="F782" s="69">
        <f>F783</f>
        <v>73834308</v>
      </c>
      <c r="G782" s="69">
        <f>G783</f>
        <v>0</v>
      </c>
      <c r="H782" s="64">
        <f>SUM(F782:G782)</f>
        <v>73834308</v>
      </c>
    </row>
    <row r="783" spans="1:8" s="33" customFormat="1" ht="15.75">
      <c r="A783" s="65" t="s">
        <v>597</v>
      </c>
      <c r="B783" s="108">
        <v>847</v>
      </c>
      <c r="C783" s="62" t="s">
        <v>645</v>
      </c>
      <c r="D783" s="63" t="s">
        <v>659</v>
      </c>
      <c r="E783" s="63">
        <v>300</v>
      </c>
      <c r="F783" s="69">
        <f>F784</f>
        <v>73834308</v>
      </c>
      <c r="G783" s="69">
        <f>G784</f>
        <v>0</v>
      </c>
      <c r="H783" s="64">
        <f>SUM(F783:G783)</f>
        <v>73834308</v>
      </c>
    </row>
    <row r="784" spans="1:8" s="33" customFormat="1" ht="15.75">
      <c r="A784" s="65" t="s">
        <v>603</v>
      </c>
      <c r="B784" s="108">
        <v>847</v>
      </c>
      <c r="C784" s="62" t="s">
        <v>645</v>
      </c>
      <c r="D784" s="63" t="s">
        <v>659</v>
      </c>
      <c r="E784" s="63">
        <v>310</v>
      </c>
      <c r="F784" s="69">
        <v>73834308</v>
      </c>
      <c r="G784" s="69">
        <v>0</v>
      </c>
      <c r="H784" s="64">
        <f>SUM(F784:G784)</f>
        <v>73834308</v>
      </c>
    </row>
    <row r="785" spans="1:8" s="33" customFormat="1" ht="68.25" customHeight="1">
      <c r="A785" s="65" t="s">
        <v>660</v>
      </c>
      <c r="B785" s="108">
        <v>847</v>
      </c>
      <c r="C785" s="62" t="s">
        <v>645</v>
      </c>
      <c r="D785" s="63" t="s">
        <v>661</v>
      </c>
      <c r="E785" s="63"/>
      <c r="F785" s="69">
        <f>F786</f>
        <v>0</v>
      </c>
      <c r="G785" s="69">
        <f>G786</f>
        <v>2352768</v>
      </c>
      <c r="H785" s="64">
        <f>SUM(F785:G785)</f>
        <v>2352768</v>
      </c>
    </row>
    <row r="786" spans="1:8" s="33" customFormat="1" ht="15.75">
      <c r="A786" s="65" t="s">
        <v>597</v>
      </c>
      <c r="B786" s="108">
        <v>847</v>
      </c>
      <c r="C786" s="62" t="s">
        <v>645</v>
      </c>
      <c r="D786" s="63" t="s">
        <v>661</v>
      </c>
      <c r="E786" s="63">
        <v>300</v>
      </c>
      <c r="F786" s="69">
        <f>F787</f>
        <v>0</v>
      </c>
      <c r="G786" s="69">
        <f>G787</f>
        <v>2352768</v>
      </c>
      <c r="H786" s="64">
        <f>SUM(F786:G786)</f>
        <v>2352768</v>
      </c>
    </row>
    <row r="787" spans="1:8" s="33" customFormat="1" ht="15.75">
      <c r="A787" s="65" t="s">
        <v>603</v>
      </c>
      <c r="B787" s="108">
        <v>847</v>
      </c>
      <c r="C787" s="62" t="s">
        <v>645</v>
      </c>
      <c r="D787" s="63" t="s">
        <v>661</v>
      </c>
      <c r="E787" s="63">
        <v>310</v>
      </c>
      <c r="F787" s="69">
        <v>0</v>
      </c>
      <c r="G787" s="69">
        <f>1847328+505440</f>
        <v>2352768</v>
      </c>
      <c r="H787" s="64">
        <f>SUM(F787:G787)</f>
        <v>2352768</v>
      </c>
    </row>
    <row r="788" spans="1:8" s="33" customFormat="1" ht="15.75">
      <c r="A788" s="65" t="s">
        <v>662</v>
      </c>
      <c r="B788" s="108">
        <v>847</v>
      </c>
      <c r="C788" s="62" t="s">
        <v>645</v>
      </c>
      <c r="D788" s="63" t="s">
        <v>663</v>
      </c>
      <c r="E788" s="63"/>
      <c r="F788" s="69">
        <f>F789</f>
        <v>16576569.14</v>
      </c>
      <c r="G788" s="69">
        <f>G789</f>
        <v>-306888.44</v>
      </c>
      <c r="H788" s="64">
        <f>SUM(F788:G788)</f>
        <v>16269680.700000001</v>
      </c>
    </row>
    <row r="789" spans="1:8" s="33" customFormat="1" ht="31.5">
      <c r="A789" s="65" t="s">
        <v>664</v>
      </c>
      <c r="B789" s="108">
        <v>847</v>
      </c>
      <c r="C789" s="62" t="s">
        <v>645</v>
      </c>
      <c r="D789" s="63" t="s">
        <v>665</v>
      </c>
      <c r="E789" s="63"/>
      <c r="F789" s="69">
        <f>F790</f>
        <v>16576569.14</v>
      </c>
      <c r="G789" s="69">
        <f>G790</f>
        <v>-306888.44</v>
      </c>
      <c r="H789" s="64">
        <f>SUM(F789:G789)</f>
        <v>16269680.700000001</v>
      </c>
    </row>
    <row r="790" spans="1:8" s="33" customFormat="1" ht="15.75">
      <c r="A790" s="65" t="s">
        <v>597</v>
      </c>
      <c r="B790" s="108">
        <v>847</v>
      </c>
      <c r="C790" s="62" t="s">
        <v>645</v>
      </c>
      <c r="D790" s="63" t="s">
        <v>665</v>
      </c>
      <c r="E790" s="63">
        <v>300</v>
      </c>
      <c r="F790" s="69">
        <f>F791</f>
        <v>16576569.14</v>
      </c>
      <c r="G790" s="69">
        <f>G791</f>
        <v>-306888.44</v>
      </c>
      <c r="H790" s="64">
        <f>SUM(F790:G790)</f>
        <v>16269680.700000001</v>
      </c>
    </row>
    <row r="791" spans="1:8" s="33" customFormat="1" ht="31.5">
      <c r="A791" s="65" t="s">
        <v>598</v>
      </c>
      <c r="B791" s="108">
        <v>847</v>
      </c>
      <c r="C791" s="62" t="s">
        <v>645</v>
      </c>
      <c r="D791" s="63" t="s">
        <v>665</v>
      </c>
      <c r="E791" s="63">
        <v>320</v>
      </c>
      <c r="F791" s="69">
        <v>16576569.14</v>
      </c>
      <c r="G791" s="69">
        <f>113781.81-420670.25</f>
        <v>-306888.44</v>
      </c>
      <c r="H791" s="64">
        <f>SUM(F791:G791)</f>
        <v>16269680.700000001</v>
      </c>
    </row>
    <row r="792" spans="1:9" s="45" customFormat="1" ht="15.75">
      <c r="A792" s="55" t="s">
        <v>438</v>
      </c>
      <c r="B792" s="56" t="s">
        <v>586</v>
      </c>
      <c r="C792" s="57" t="s">
        <v>439</v>
      </c>
      <c r="D792" s="63"/>
      <c r="E792" s="63"/>
      <c r="F792" s="72">
        <f>SUM(F806,F793,F836)</f>
        <v>76042348</v>
      </c>
      <c r="G792" s="72">
        <f>SUM(G806,G793,G836)</f>
        <v>2130150.25</v>
      </c>
      <c r="H792" s="58">
        <f>SUM(F792:G792)</f>
        <v>78172498.25</v>
      </c>
      <c r="I792" s="33"/>
    </row>
    <row r="793" spans="1:9" s="45" customFormat="1" ht="31.5">
      <c r="A793" s="65" t="s">
        <v>428</v>
      </c>
      <c r="B793" s="108">
        <v>847</v>
      </c>
      <c r="C793" s="62" t="s">
        <v>439</v>
      </c>
      <c r="D793" s="63" t="s">
        <v>429</v>
      </c>
      <c r="E793" s="63"/>
      <c r="F793" s="66">
        <f>SUM(F794,F800)</f>
        <v>5000000</v>
      </c>
      <c r="G793" s="66">
        <f>SUM(G794,G800)</f>
        <v>0</v>
      </c>
      <c r="H793" s="64">
        <f>SUM(F793:G793)</f>
        <v>5000000</v>
      </c>
      <c r="I793" s="33"/>
    </row>
    <row r="794" spans="1:9" s="45" customFormat="1" ht="31.5">
      <c r="A794" s="83" t="s">
        <v>430</v>
      </c>
      <c r="B794" s="108">
        <v>847</v>
      </c>
      <c r="C794" s="62" t="s">
        <v>439</v>
      </c>
      <c r="D794" s="63" t="s">
        <v>431</v>
      </c>
      <c r="E794" s="63"/>
      <c r="F794" s="66">
        <f>F795</f>
        <v>2000000</v>
      </c>
      <c r="G794" s="66">
        <f>G795</f>
        <v>0</v>
      </c>
      <c r="H794" s="64">
        <f>SUM(F794:G794)</f>
        <v>2000000</v>
      </c>
      <c r="I794" s="33"/>
    </row>
    <row r="795" spans="1:8" s="33" customFormat="1" ht="31.5">
      <c r="A795" s="83" t="s">
        <v>666</v>
      </c>
      <c r="B795" s="108">
        <v>847</v>
      </c>
      <c r="C795" s="62" t="s">
        <v>439</v>
      </c>
      <c r="D795" s="63" t="s">
        <v>667</v>
      </c>
      <c r="E795" s="63"/>
      <c r="F795" s="66">
        <f>F798+F796</f>
        <v>2000000</v>
      </c>
      <c r="G795" s="66">
        <f>G798+G796</f>
        <v>0</v>
      </c>
      <c r="H795" s="64">
        <f>SUM(F795:G795)</f>
        <v>2000000</v>
      </c>
    </row>
    <row r="796" spans="1:8" s="33" customFormat="1" ht="31.5">
      <c r="A796" s="68" t="s">
        <v>121</v>
      </c>
      <c r="B796" s="108">
        <v>847</v>
      </c>
      <c r="C796" s="62" t="s">
        <v>439</v>
      </c>
      <c r="D796" s="63" t="s">
        <v>667</v>
      </c>
      <c r="E796" s="63">
        <v>200</v>
      </c>
      <c r="F796" s="66">
        <f>F797</f>
        <v>20000</v>
      </c>
      <c r="G796" s="66">
        <f>G797</f>
        <v>0</v>
      </c>
      <c r="H796" s="64">
        <f>SUM(F796:G796)</f>
        <v>20000</v>
      </c>
    </row>
    <row r="797" spans="1:9" s="45" customFormat="1" ht="31.5">
      <c r="A797" s="68" t="s">
        <v>123</v>
      </c>
      <c r="B797" s="108">
        <v>847</v>
      </c>
      <c r="C797" s="62" t="s">
        <v>439</v>
      </c>
      <c r="D797" s="63" t="s">
        <v>667</v>
      </c>
      <c r="E797" s="63">
        <v>240</v>
      </c>
      <c r="F797" s="66">
        <v>20000</v>
      </c>
      <c r="G797" s="66">
        <v>0</v>
      </c>
      <c r="H797" s="64">
        <f>SUM(F797:G797)</f>
        <v>20000</v>
      </c>
      <c r="I797" s="33"/>
    </row>
    <row r="798" spans="1:9" s="45" customFormat="1" ht="15.75">
      <c r="A798" s="65" t="s">
        <v>597</v>
      </c>
      <c r="B798" s="108">
        <v>847</v>
      </c>
      <c r="C798" s="62" t="s">
        <v>439</v>
      </c>
      <c r="D798" s="63" t="s">
        <v>667</v>
      </c>
      <c r="E798" s="63">
        <v>300</v>
      </c>
      <c r="F798" s="66">
        <f>F799</f>
        <v>1980000</v>
      </c>
      <c r="G798" s="66">
        <f>G799</f>
        <v>0</v>
      </c>
      <c r="H798" s="64">
        <f>SUM(F798:G798)</f>
        <v>1980000</v>
      </c>
      <c r="I798" s="33"/>
    </row>
    <row r="799" spans="1:9" s="45" customFormat="1" ht="15.75">
      <c r="A799" s="65" t="s">
        <v>603</v>
      </c>
      <c r="B799" s="108">
        <v>847</v>
      </c>
      <c r="C799" s="62" t="s">
        <v>439</v>
      </c>
      <c r="D799" s="63" t="s">
        <v>667</v>
      </c>
      <c r="E799" s="63">
        <v>310</v>
      </c>
      <c r="F799" s="66">
        <v>1980000</v>
      </c>
      <c r="G799" s="66">
        <v>0</v>
      </c>
      <c r="H799" s="64">
        <f>SUM(F799:G799)</f>
        <v>1980000</v>
      </c>
      <c r="I799" s="33"/>
    </row>
    <row r="800" spans="1:9" s="45" customFormat="1" ht="31.5">
      <c r="A800" s="83" t="s">
        <v>668</v>
      </c>
      <c r="B800" s="108">
        <v>847</v>
      </c>
      <c r="C800" s="62" t="s">
        <v>439</v>
      </c>
      <c r="D800" s="63" t="s">
        <v>669</v>
      </c>
      <c r="E800" s="63"/>
      <c r="F800" s="66">
        <f>F801</f>
        <v>3000000</v>
      </c>
      <c r="G800" s="66">
        <f>G801</f>
        <v>0</v>
      </c>
      <c r="H800" s="64">
        <f>SUM(F800:G800)</f>
        <v>3000000</v>
      </c>
      <c r="I800" s="33"/>
    </row>
    <row r="801" spans="1:9" s="45" customFormat="1" ht="31.5">
      <c r="A801" s="83" t="s">
        <v>670</v>
      </c>
      <c r="B801" s="108">
        <v>847</v>
      </c>
      <c r="C801" s="62" t="s">
        <v>439</v>
      </c>
      <c r="D801" s="63" t="s">
        <v>671</v>
      </c>
      <c r="E801" s="63"/>
      <c r="F801" s="66">
        <f>F804+F802</f>
        <v>3000000</v>
      </c>
      <c r="G801" s="66">
        <f>G804+G802</f>
        <v>0</v>
      </c>
      <c r="H801" s="64">
        <f>SUM(F801:G801)</f>
        <v>3000000</v>
      </c>
      <c r="I801" s="33"/>
    </row>
    <row r="802" spans="1:9" s="45" customFormat="1" ht="31.5">
      <c r="A802" s="68" t="s">
        <v>121</v>
      </c>
      <c r="B802" s="108">
        <v>847</v>
      </c>
      <c r="C802" s="62" t="s">
        <v>439</v>
      </c>
      <c r="D802" s="63" t="s">
        <v>671</v>
      </c>
      <c r="E802" s="63">
        <v>200</v>
      </c>
      <c r="F802" s="66">
        <f>F803</f>
        <v>30000</v>
      </c>
      <c r="G802" s="66">
        <f>G803</f>
        <v>0</v>
      </c>
      <c r="H802" s="64">
        <f>SUM(F802:G802)</f>
        <v>30000</v>
      </c>
      <c r="I802" s="33"/>
    </row>
    <row r="803" spans="1:9" s="45" customFormat="1" ht="31.5">
      <c r="A803" s="68" t="s">
        <v>123</v>
      </c>
      <c r="B803" s="108">
        <v>847</v>
      </c>
      <c r="C803" s="62" t="s">
        <v>439</v>
      </c>
      <c r="D803" s="63" t="s">
        <v>671</v>
      </c>
      <c r="E803" s="63">
        <v>240</v>
      </c>
      <c r="F803" s="66">
        <v>30000</v>
      </c>
      <c r="G803" s="66">
        <v>0</v>
      </c>
      <c r="H803" s="64">
        <f>SUM(F803:G803)</f>
        <v>30000</v>
      </c>
      <c r="I803" s="33"/>
    </row>
    <row r="804" spans="1:9" s="45" customFormat="1" ht="15.75">
      <c r="A804" s="65" t="s">
        <v>597</v>
      </c>
      <c r="B804" s="108">
        <v>847</v>
      </c>
      <c r="C804" s="62" t="s">
        <v>439</v>
      </c>
      <c r="D804" s="63" t="s">
        <v>671</v>
      </c>
      <c r="E804" s="63">
        <v>300</v>
      </c>
      <c r="F804" s="66">
        <f>F805</f>
        <v>2970000</v>
      </c>
      <c r="G804" s="66">
        <f>G805</f>
        <v>0</v>
      </c>
      <c r="H804" s="64">
        <f>SUM(F804:G804)</f>
        <v>2970000</v>
      </c>
      <c r="I804" s="33"/>
    </row>
    <row r="805" spans="1:9" s="45" customFormat="1" ht="15.75">
      <c r="A805" s="65" t="s">
        <v>603</v>
      </c>
      <c r="B805" s="108">
        <v>847</v>
      </c>
      <c r="C805" s="62" t="s">
        <v>439</v>
      </c>
      <c r="D805" s="63" t="s">
        <v>671</v>
      </c>
      <c r="E805" s="63">
        <v>310</v>
      </c>
      <c r="F805" s="66">
        <v>2970000</v>
      </c>
      <c r="G805" s="66">
        <v>0</v>
      </c>
      <c r="H805" s="64">
        <f>SUM(F805:G805)</f>
        <v>2970000</v>
      </c>
      <c r="I805" s="33"/>
    </row>
    <row r="806" spans="1:9" s="45" customFormat="1" ht="31.5">
      <c r="A806" s="65" t="s">
        <v>248</v>
      </c>
      <c r="B806" s="108">
        <v>847</v>
      </c>
      <c r="C806" s="62" t="s">
        <v>439</v>
      </c>
      <c r="D806" s="63" t="s">
        <v>249</v>
      </c>
      <c r="E806" s="63"/>
      <c r="F806" s="66">
        <f>SUM(F807,F823)</f>
        <v>71042348</v>
      </c>
      <c r="G806" s="66">
        <f>SUM(G807,G823)</f>
        <v>-869849.75</v>
      </c>
      <c r="H806" s="64">
        <f>SUM(F806:G806)</f>
        <v>70172498.25</v>
      </c>
      <c r="I806" s="33"/>
    </row>
    <row r="807" spans="1:9" s="45" customFormat="1" ht="47.25">
      <c r="A807" s="65" t="s">
        <v>440</v>
      </c>
      <c r="B807" s="108">
        <v>847</v>
      </c>
      <c r="C807" s="62" t="s">
        <v>439</v>
      </c>
      <c r="D807" s="63" t="s">
        <v>441</v>
      </c>
      <c r="E807" s="63"/>
      <c r="F807" s="66">
        <f>SUM(F808,F813,F818)</f>
        <v>35993252</v>
      </c>
      <c r="G807" s="66">
        <f>SUM(G808,G813,G818)</f>
        <v>0</v>
      </c>
      <c r="H807" s="64">
        <f>SUM(F807:G807)</f>
        <v>35993252</v>
      </c>
      <c r="I807" s="33"/>
    </row>
    <row r="808" spans="1:9" s="45" customFormat="1" ht="47.25">
      <c r="A808" s="65" t="s">
        <v>672</v>
      </c>
      <c r="B808" s="108">
        <v>847</v>
      </c>
      <c r="C808" s="62" t="s">
        <v>439</v>
      </c>
      <c r="D808" s="63" t="s">
        <v>673</v>
      </c>
      <c r="E808" s="63"/>
      <c r="F808" s="69">
        <f>F811+F809</f>
        <v>599149</v>
      </c>
      <c r="G808" s="69">
        <f>G811+G809</f>
        <v>0</v>
      </c>
      <c r="H808" s="64">
        <f>SUM(F808:G808)</f>
        <v>599149</v>
      </c>
      <c r="I808" s="33"/>
    </row>
    <row r="809" spans="1:9" s="45" customFormat="1" ht="31.5">
      <c r="A809" s="68" t="s">
        <v>121</v>
      </c>
      <c r="B809" s="108">
        <v>847</v>
      </c>
      <c r="C809" s="62" t="s">
        <v>439</v>
      </c>
      <c r="D809" s="63" t="s">
        <v>673</v>
      </c>
      <c r="E809" s="63">
        <v>200</v>
      </c>
      <c r="F809" s="69">
        <f>F810</f>
        <v>5990</v>
      </c>
      <c r="G809" s="69">
        <f>G810</f>
        <v>0</v>
      </c>
      <c r="H809" s="64">
        <f>SUM(F809:G809)</f>
        <v>5990</v>
      </c>
      <c r="I809" s="33"/>
    </row>
    <row r="810" spans="1:9" s="45" customFormat="1" ht="31.5">
      <c r="A810" s="65" t="s">
        <v>123</v>
      </c>
      <c r="B810" s="108">
        <v>847</v>
      </c>
      <c r="C810" s="62" t="s">
        <v>439</v>
      </c>
      <c r="D810" s="63" t="s">
        <v>673</v>
      </c>
      <c r="E810" s="63">
        <v>240</v>
      </c>
      <c r="F810" s="69">
        <v>5990</v>
      </c>
      <c r="G810" s="69">
        <v>0</v>
      </c>
      <c r="H810" s="64">
        <f>SUM(F810:G810)</f>
        <v>5990</v>
      </c>
      <c r="I810" s="33"/>
    </row>
    <row r="811" spans="1:9" s="45" customFormat="1" ht="15.75">
      <c r="A811" s="65" t="s">
        <v>597</v>
      </c>
      <c r="B811" s="108">
        <v>847</v>
      </c>
      <c r="C811" s="62" t="s">
        <v>439</v>
      </c>
      <c r="D811" s="63" t="s">
        <v>673</v>
      </c>
      <c r="E811" s="63">
        <v>300</v>
      </c>
      <c r="F811" s="69">
        <f>F812</f>
        <v>593159</v>
      </c>
      <c r="G811" s="69">
        <f>G812</f>
        <v>0</v>
      </c>
      <c r="H811" s="64">
        <f>SUM(F811:G811)</f>
        <v>593159</v>
      </c>
      <c r="I811" s="33"/>
    </row>
    <row r="812" spans="1:9" s="45" customFormat="1" ht="15.75">
      <c r="A812" s="65" t="s">
        <v>603</v>
      </c>
      <c r="B812" s="108">
        <v>847</v>
      </c>
      <c r="C812" s="62" t="s">
        <v>439</v>
      </c>
      <c r="D812" s="63" t="s">
        <v>673</v>
      </c>
      <c r="E812" s="63">
        <v>310</v>
      </c>
      <c r="F812" s="69">
        <v>593159</v>
      </c>
      <c r="G812" s="69">
        <v>0</v>
      </c>
      <c r="H812" s="64">
        <f>SUM(F812:G812)</f>
        <v>593159</v>
      </c>
      <c r="I812" s="33"/>
    </row>
    <row r="813" spans="1:8" s="33" customFormat="1" ht="47.25">
      <c r="A813" s="65" t="s">
        <v>674</v>
      </c>
      <c r="B813" s="108">
        <v>847</v>
      </c>
      <c r="C813" s="62" t="s">
        <v>439</v>
      </c>
      <c r="D813" s="63" t="s">
        <v>675</v>
      </c>
      <c r="E813" s="63"/>
      <c r="F813" s="69">
        <f>F816+F814</f>
        <v>3000000</v>
      </c>
      <c r="G813" s="69">
        <f>G816+G814</f>
        <v>0</v>
      </c>
      <c r="H813" s="64">
        <f>SUM(F813:G813)</f>
        <v>3000000</v>
      </c>
    </row>
    <row r="814" spans="1:8" s="33" customFormat="1" ht="31.5">
      <c r="A814" s="68" t="s">
        <v>121</v>
      </c>
      <c r="B814" s="108">
        <v>847</v>
      </c>
      <c r="C814" s="62" t="s">
        <v>439</v>
      </c>
      <c r="D814" s="63" t="s">
        <v>675</v>
      </c>
      <c r="E814" s="63">
        <v>200</v>
      </c>
      <c r="F814" s="66">
        <f>F815</f>
        <v>29703</v>
      </c>
      <c r="G814" s="66">
        <f>G815</f>
        <v>0</v>
      </c>
      <c r="H814" s="64">
        <f>SUM(F814:G814)</f>
        <v>29703</v>
      </c>
    </row>
    <row r="815" spans="1:8" s="33" customFormat="1" ht="31.5">
      <c r="A815" s="65" t="s">
        <v>123</v>
      </c>
      <c r="B815" s="108">
        <v>847</v>
      </c>
      <c r="C815" s="62" t="s">
        <v>439</v>
      </c>
      <c r="D815" s="63" t="s">
        <v>675</v>
      </c>
      <c r="E815" s="63">
        <v>240</v>
      </c>
      <c r="F815" s="66">
        <v>29703</v>
      </c>
      <c r="G815" s="66">
        <v>0</v>
      </c>
      <c r="H815" s="64">
        <f>SUM(F815:G815)</f>
        <v>29703</v>
      </c>
    </row>
    <row r="816" spans="1:8" s="33" customFormat="1" ht="15.75">
      <c r="A816" s="65" t="s">
        <v>597</v>
      </c>
      <c r="B816" s="108">
        <v>847</v>
      </c>
      <c r="C816" s="62" t="s">
        <v>439</v>
      </c>
      <c r="D816" s="63" t="s">
        <v>675</v>
      </c>
      <c r="E816" s="63">
        <v>300</v>
      </c>
      <c r="F816" s="66">
        <f>F817</f>
        <v>2970297</v>
      </c>
      <c r="G816" s="66">
        <f>G817</f>
        <v>0</v>
      </c>
      <c r="H816" s="64">
        <f>SUM(F816:G816)</f>
        <v>2970297</v>
      </c>
    </row>
    <row r="817" spans="1:8" s="33" customFormat="1" ht="15.75">
      <c r="A817" s="65" t="s">
        <v>603</v>
      </c>
      <c r="B817" s="108">
        <v>847</v>
      </c>
      <c r="C817" s="62" t="s">
        <v>439</v>
      </c>
      <c r="D817" s="63" t="s">
        <v>675</v>
      </c>
      <c r="E817" s="63">
        <v>310</v>
      </c>
      <c r="F817" s="66">
        <v>2970297</v>
      </c>
      <c r="G817" s="66">
        <v>0</v>
      </c>
      <c r="H817" s="64">
        <f>SUM(F817:G817)</f>
        <v>2970297</v>
      </c>
    </row>
    <row r="818" spans="1:9" s="45" customFormat="1" ht="47.25">
      <c r="A818" s="65" t="s">
        <v>676</v>
      </c>
      <c r="B818" s="108">
        <v>847</v>
      </c>
      <c r="C818" s="62" t="s">
        <v>439</v>
      </c>
      <c r="D818" s="63" t="s">
        <v>677</v>
      </c>
      <c r="E818" s="63"/>
      <c r="F818" s="69">
        <f>F821+F819</f>
        <v>32394103</v>
      </c>
      <c r="G818" s="69">
        <f>G821+G819</f>
        <v>0</v>
      </c>
      <c r="H818" s="64">
        <f>SUM(F818:G818)</f>
        <v>32394103</v>
      </c>
      <c r="I818" s="33"/>
    </row>
    <row r="819" spans="1:9" s="45" customFormat="1" ht="31.5">
      <c r="A819" s="68" t="s">
        <v>121</v>
      </c>
      <c r="B819" s="108">
        <v>847</v>
      </c>
      <c r="C819" s="62" t="s">
        <v>439</v>
      </c>
      <c r="D819" s="63" t="s">
        <v>677</v>
      </c>
      <c r="E819" s="63">
        <v>200</v>
      </c>
      <c r="F819" s="69">
        <f>F820</f>
        <v>320702</v>
      </c>
      <c r="G819" s="69">
        <f>G820</f>
        <v>0</v>
      </c>
      <c r="H819" s="64">
        <f>SUM(F819:G819)</f>
        <v>320702</v>
      </c>
      <c r="I819" s="33"/>
    </row>
    <row r="820" spans="1:9" s="45" customFormat="1" ht="31.5">
      <c r="A820" s="65" t="s">
        <v>123</v>
      </c>
      <c r="B820" s="108">
        <v>847</v>
      </c>
      <c r="C820" s="62" t="s">
        <v>439</v>
      </c>
      <c r="D820" s="63" t="s">
        <v>677</v>
      </c>
      <c r="E820" s="63">
        <v>240</v>
      </c>
      <c r="F820" s="69">
        <v>320702</v>
      </c>
      <c r="G820" s="69">
        <v>0</v>
      </c>
      <c r="H820" s="64">
        <f>SUM(F820:G820)</f>
        <v>320702</v>
      </c>
      <c r="I820" s="33"/>
    </row>
    <row r="821" spans="1:9" s="45" customFormat="1" ht="15.75">
      <c r="A821" s="65" t="s">
        <v>597</v>
      </c>
      <c r="B821" s="108">
        <v>847</v>
      </c>
      <c r="C821" s="62" t="s">
        <v>439</v>
      </c>
      <c r="D821" s="63" t="s">
        <v>677</v>
      </c>
      <c r="E821" s="63">
        <v>300</v>
      </c>
      <c r="F821" s="69">
        <f>F822</f>
        <v>32073401</v>
      </c>
      <c r="G821" s="69">
        <f>G822</f>
        <v>0</v>
      </c>
      <c r="H821" s="64">
        <f>SUM(F821:G821)</f>
        <v>32073401</v>
      </c>
      <c r="I821" s="33"/>
    </row>
    <row r="822" spans="1:9" s="45" customFormat="1" ht="15.75">
      <c r="A822" s="65" t="s">
        <v>603</v>
      </c>
      <c r="B822" s="108">
        <v>847</v>
      </c>
      <c r="C822" s="62" t="s">
        <v>439</v>
      </c>
      <c r="D822" s="63" t="s">
        <v>677</v>
      </c>
      <c r="E822" s="63">
        <v>310</v>
      </c>
      <c r="F822" s="69">
        <v>32073401</v>
      </c>
      <c r="G822" s="69">
        <v>0</v>
      </c>
      <c r="H822" s="64">
        <f>SUM(F822:G822)</f>
        <v>32073401</v>
      </c>
      <c r="I822" s="33"/>
    </row>
    <row r="823" spans="1:9" s="45" customFormat="1" ht="47.25">
      <c r="A823" s="65" t="s">
        <v>678</v>
      </c>
      <c r="B823" s="108">
        <v>847</v>
      </c>
      <c r="C823" s="62" t="s">
        <v>439</v>
      </c>
      <c r="D823" s="63" t="s">
        <v>679</v>
      </c>
      <c r="E823" s="63"/>
      <c r="F823" s="69">
        <f>SUM(F824,F831)</f>
        <v>35049096</v>
      </c>
      <c r="G823" s="69">
        <f>SUM(G824,G831)</f>
        <v>-869849.75</v>
      </c>
      <c r="H823" s="64">
        <f>SUM(F823:G823)</f>
        <v>34179246.25</v>
      </c>
      <c r="I823" s="33"/>
    </row>
    <row r="824" spans="1:9" s="45" customFormat="1" ht="31.5">
      <c r="A824" s="65" t="s">
        <v>680</v>
      </c>
      <c r="B824" s="108">
        <v>847</v>
      </c>
      <c r="C824" s="62" t="s">
        <v>439</v>
      </c>
      <c r="D824" s="63" t="s">
        <v>681</v>
      </c>
      <c r="E824" s="63"/>
      <c r="F824" s="69">
        <f>F825+F827+F829</f>
        <v>22584096</v>
      </c>
      <c r="G824" s="69">
        <f>G825+G827+G829</f>
        <v>-1290520</v>
      </c>
      <c r="H824" s="64">
        <f>SUM(F824:G824)</f>
        <v>21293576</v>
      </c>
      <c r="I824" s="33"/>
    </row>
    <row r="825" spans="1:9" s="45" customFormat="1" ht="78.75">
      <c r="A825" s="67" t="s">
        <v>115</v>
      </c>
      <c r="B825" s="108">
        <v>847</v>
      </c>
      <c r="C825" s="62" t="s">
        <v>439</v>
      </c>
      <c r="D825" s="63" t="s">
        <v>681</v>
      </c>
      <c r="E825" s="62" t="s">
        <v>116</v>
      </c>
      <c r="F825" s="69">
        <f>F826</f>
        <v>19912319</v>
      </c>
      <c r="G825" s="69">
        <f>G826</f>
        <v>-800000</v>
      </c>
      <c r="H825" s="64">
        <f>SUM(F825:G825)</f>
        <v>19112319</v>
      </c>
      <c r="I825" s="33"/>
    </row>
    <row r="826" spans="1:9" s="45" customFormat="1" ht="31.5">
      <c r="A826" s="67" t="s">
        <v>117</v>
      </c>
      <c r="B826" s="108">
        <v>847</v>
      </c>
      <c r="C826" s="62" t="s">
        <v>439</v>
      </c>
      <c r="D826" s="63" t="s">
        <v>681</v>
      </c>
      <c r="E826" s="62" t="s">
        <v>118</v>
      </c>
      <c r="F826" s="69">
        <v>19912319</v>
      </c>
      <c r="G826" s="69">
        <v>-800000</v>
      </c>
      <c r="H826" s="64">
        <f>SUM(F826:G826)</f>
        <v>19112319</v>
      </c>
      <c r="I826" s="33"/>
    </row>
    <row r="827" spans="1:9" s="45" customFormat="1" ht="31.5">
      <c r="A827" s="68" t="s">
        <v>121</v>
      </c>
      <c r="B827" s="108">
        <v>847</v>
      </c>
      <c r="C827" s="62" t="s">
        <v>439</v>
      </c>
      <c r="D827" s="63" t="s">
        <v>681</v>
      </c>
      <c r="E827" s="62" t="s">
        <v>122</v>
      </c>
      <c r="F827" s="69">
        <f>F828</f>
        <v>2661777</v>
      </c>
      <c r="G827" s="69">
        <f>G828</f>
        <v>-490520</v>
      </c>
      <c r="H827" s="64">
        <f>SUM(F827:G827)</f>
        <v>2171257</v>
      </c>
      <c r="I827" s="33"/>
    </row>
    <row r="828" spans="1:9" s="45" customFormat="1" ht="31.5">
      <c r="A828" s="68" t="s">
        <v>123</v>
      </c>
      <c r="B828" s="108">
        <v>847</v>
      </c>
      <c r="C828" s="62" t="s">
        <v>439</v>
      </c>
      <c r="D828" s="63" t="s">
        <v>681</v>
      </c>
      <c r="E828" s="62" t="s">
        <v>124</v>
      </c>
      <c r="F828" s="69">
        <v>2661777</v>
      </c>
      <c r="G828" s="69">
        <f>-1290520+800000</f>
        <v>-490520</v>
      </c>
      <c r="H828" s="64">
        <f>SUM(F828:G828)</f>
        <v>2171257</v>
      </c>
      <c r="I828" s="33"/>
    </row>
    <row r="829" spans="1:9" s="45" customFormat="1" ht="15.75">
      <c r="A829" s="68" t="s">
        <v>129</v>
      </c>
      <c r="B829" s="108">
        <v>847</v>
      </c>
      <c r="C829" s="62" t="s">
        <v>439</v>
      </c>
      <c r="D829" s="63" t="s">
        <v>681</v>
      </c>
      <c r="E829" s="62" t="s">
        <v>130</v>
      </c>
      <c r="F829" s="69">
        <f>F830</f>
        <v>10000</v>
      </c>
      <c r="G829" s="69">
        <f>G830</f>
        <v>0</v>
      </c>
      <c r="H829" s="64">
        <f>SUM(F829:G829)</f>
        <v>10000</v>
      </c>
      <c r="I829" s="33"/>
    </row>
    <row r="830" spans="1:9" s="45" customFormat="1" ht="15.75">
      <c r="A830" s="68" t="s">
        <v>131</v>
      </c>
      <c r="B830" s="108">
        <v>847</v>
      </c>
      <c r="C830" s="62" t="s">
        <v>439</v>
      </c>
      <c r="D830" s="63" t="s">
        <v>681</v>
      </c>
      <c r="E830" s="62" t="s">
        <v>132</v>
      </c>
      <c r="F830" s="69">
        <v>10000</v>
      </c>
      <c r="G830" s="69">
        <v>0</v>
      </c>
      <c r="H830" s="64">
        <f>SUM(F830:G830)</f>
        <v>10000</v>
      </c>
      <c r="I830" s="33"/>
    </row>
    <row r="831" spans="1:9" s="45" customFormat="1" ht="47.25">
      <c r="A831" s="65" t="s">
        <v>682</v>
      </c>
      <c r="B831" s="108">
        <v>847</v>
      </c>
      <c r="C831" s="62" t="s">
        <v>439</v>
      </c>
      <c r="D831" s="63" t="s">
        <v>683</v>
      </c>
      <c r="E831" s="63"/>
      <c r="F831" s="69">
        <f>F832+F834</f>
        <v>12465000</v>
      </c>
      <c r="G831" s="69">
        <f>G832+G834</f>
        <v>420670.25</v>
      </c>
      <c r="H831" s="64">
        <f>SUM(F831:G831)</f>
        <v>12885670.25</v>
      </c>
      <c r="I831" s="33"/>
    </row>
    <row r="832" spans="1:9" s="45" customFormat="1" ht="78.75">
      <c r="A832" s="67" t="s">
        <v>115</v>
      </c>
      <c r="B832" s="108">
        <v>847</v>
      </c>
      <c r="C832" s="62" t="s">
        <v>439</v>
      </c>
      <c r="D832" s="63" t="s">
        <v>683</v>
      </c>
      <c r="E832" s="62" t="s">
        <v>116</v>
      </c>
      <c r="F832" s="69">
        <f>F833</f>
        <v>11385000</v>
      </c>
      <c r="G832" s="69">
        <f>G833</f>
        <v>0</v>
      </c>
      <c r="H832" s="64">
        <f>SUM(F832:G832)</f>
        <v>11385000</v>
      </c>
      <c r="I832" s="33"/>
    </row>
    <row r="833" spans="1:9" s="45" customFormat="1" ht="31.5">
      <c r="A833" s="67" t="s">
        <v>117</v>
      </c>
      <c r="B833" s="108">
        <v>847</v>
      </c>
      <c r="C833" s="62" t="s">
        <v>439</v>
      </c>
      <c r="D833" s="63" t="s">
        <v>683</v>
      </c>
      <c r="E833" s="62" t="s">
        <v>118</v>
      </c>
      <c r="F833" s="69">
        <v>11385000</v>
      </c>
      <c r="G833" s="69">
        <v>0</v>
      </c>
      <c r="H833" s="64">
        <f>SUM(F833:G833)</f>
        <v>11385000</v>
      </c>
      <c r="I833" s="33"/>
    </row>
    <row r="834" spans="1:9" s="45" customFormat="1" ht="31.5">
      <c r="A834" s="68" t="s">
        <v>121</v>
      </c>
      <c r="B834" s="108">
        <v>847</v>
      </c>
      <c r="C834" s="62" t="s">
        <v>439</v>
      </c>
      <c r="D834" s="63" t="s">
        <v>683</v>
      </c>
      <c r="E834" s="62" t="s">
        <v>122</v>
      </c>
      <c r="F834" s="69">
        <f>F835</f>
        <v>1080000</v>
      </c>
      <c r="G834" s="69">
        <f>G835</f>
        <v>420670.25</v>
      </c>
      <c r="H834" s="64">
        <f>SUM(F834:G834)</f>
        <v>1500670.25</v>
      </c>
      <c r="I834" s="33"/>
    </row>
    <row r="835" spans="1:9" s="45" customFormat="1" ht="31.5">
      <c r="A835" s="68" t="s">
        <v>123</v>
      </c>
      <c r="B835" s="108">
        <v>847</v>
      </c>
      <c r="C835" s="62" t="s">
        <v>439</v>
      </c>
      <c r="D835" s="63" t="s">
        <v>683</v>
      </c>
      <c r="E835" s="62" t="s">
        <v>124</v>
      </c>
      <c r="F835" s="69">
        <v>1080000</v>
      </c>
      <c r="G835" s="69">
        <v>420670.25</v>
      </c>
      <c r="H835" s="64">
        <f>SUM(F835:G835)</f>
        <v>1500670.25</v>
      </c>
      <c r="I835" s="33"/>
    </row>
    <row r="836" spans="1:9" s="45" customFormat="1" ht="15.75">
      <c r="A836" s="68" t="s">
        <v>109</v>
      </c>
      <c r="B836" s="108">
        <v>847</v>
      </c>
      <c r="C836" s="62" t="s">
        <v>439</v>
      </c>
      <c r="D836" s="63" t="s">
        <v>110</v>
      </c>
      <c r="E836" s="62"/>
      <c r="F836" s="69">
        <f>F837</f>
        <v>0</v>
      </c>
      <c r="G836" s="69">
        <f>G837</f>
        <v>3000000</v>
      </c>
      <c r="H836" s="64">
        <f>SUM(F836:G836)</f>
        <v>3000000</v>
      </c>
      <c r="I836" s="33"/>
    </row>
    <row r="837" spans="1:9" s="45" customFormat="1" ht="15.75">
      <c r="A837" s="68" t="s">
        <v>214</v>
      </c>
      <c r="B837" s="108">
        <v>847</v>
      </c>
      <c r="C837" s="62" t="s">
        <v>439</v>
      </c>
      <c r="D837" s="63" t="s">
        <v>215</v>
      </c>
      <c r="E837" s="62"/>
      <c r="F837" s="69">
        <f>F838</f>
        <v>0</v>
      </c>
      <c r="G837" s="69">
        <f>G838</f>
        <v>3000000</v>
      </c>
      <c r="H837" s="64">
        <f>SUM(F837:G837)</f>
        <v>3000000</v>
      </c>
      <c r="I837" s="33"/>
    </row>
    <row r="838" spans="1:9" s="45" customFormat="1" ht="37.5" customHeight="1">
      <c r="A838" s="68" t="s">
        <v>684</v>
      </c>
      <c r="B838" s="108">
        <v>847</v>
      </c>
      <c r="C838" s="62" t="s">
        <v>439</v>
      </c>
      <c r="D838" s="63" t="s">
        <v>594</v>
      </c>
      <c r="E838" s="62"/>
      <c r="F838" s="69">
        <f>F839+F841</f>
        <v>0</v>
      </c>
      <c r="G838" s="69">
        <f>G839+G841</f>
        <v>3000000</v>
      </c>
      <c r="H838" s="64">
        <f>SUM(F838:G838)</f>
        <v>3000000</v>
      </c>
      <c r="I838" s="33"/>
    </row>
    <row r="839" spans="1:9" s="45" customFormat="1" ht="31.5">
      <c r="A839" s="68" t="s">
        <v>121</v>
      </c>
      <c r="B839" s="108">
        <v>847</v>
      </c>
      <c r="C839" s="62" t="s">
        <v>439</v>
      </c>
      <c r="D839" s="63" t="s">
        <v>594</v>
      </c>
      <c r="E839" s="62" t="s">
        <v>122</v>
      </c>
      <c r="F839" s="69">
        <f>F840</f>
        <v>0</v>
      </c>
      <c r="G839" s="69">
        <f>G840</f>
        <v>29703</v>
      </c>
      <c r="H839" s="64">
        <f>SUM(F839:G839)</f>
        <v>29703</v>
      </c>
      <c r="I839" s="33"/>
    </row>
    <row r="840" spans="1:9" s="45" customFormat="1" ht="31.5">
      <c r="A840" s="68" t="s">
        <v>123</v>
      </c>
      <c r="B840" s="108">
        <v>847</v>
      </c>
      <c r="C840" s="62" t="s">
        <v>439</v>
      </c>
      <c r="D840" s="63" t="s">
        <v>594</v>
      </c>
      <c r="E840" s="62" t="s">
        <v>124</v>
      </c>
      <c r="F840" s="69">
        <v>0</v>
      </c>
      <c r="G840" s="69">
        <v>29703</v>
      </c>
      <c r="H840" s="64">
        <f>SUM(F840:G840)</f>
        <v>29703</v>
      </c>
      <c r="I840" s="33"/>
    </row>
    <row r="841" spans="1:9" s="45" customFormat="1" ht="15.75">
      <c r="A841" s="65" t="s">
        <v>597</v>
      </c>
      <c r="B841" s="108">
        <v>847</v>
      </c>
      <c r="C841" s="62" t="s">
        <v>439</v>
      </c>
      <c r="D841" s="63" t="s">
        <v>594</v>
      </c>
      <c r="E841" s="63">
        <v>300</v>
      </c>
      <c r="F841" s="69">
        <f>F842</f>
        <v>0</v>
      </c>
      <c r="G841" s="69">
        <f>G842</f>
        <v>2970297</v>
      </c>
      <c r="H841" s="64">
        <f>SUM(F841:G841)</f>
        <v>2970297</v>
      </c>
      <c r="I841" s="33"/>
    </row>
    <row r="842" spans="1:9" s="45" customFormat="1" ht="15.75">
      <c r="A842" s="65" t="s">
        <v>603</v>
      </c>
      <c r="B842" s="108">
        <v>847</v>
      </c>
      <c r="C842" s="62" t="s">
        <v>439</v>
      </c>
      <c r="D842" s="63" t="s">
        <v>594</v>
      </c>
      <c r="E842" s="63">
        <v>310</v>
      </c>
      <c r="F842" s="69">
        <v>0</v>
      </c>
      <c r="G842" s="69">
        <v>2970297</v>
      </c>
      <c r="H842" s="64">
        <f>SUM(F842:G842)</f>
        <v>2970297</v>
      </c>
      <c r="I842" s="33"/>
    </row>
    <row r="843" spans="1:9" s="45" customFormat="1" ht="33">
      <c r="A843" s="46" t="s">
        <v>685</v>
      </c>
      <c r="B843" s="47" t="s">
        <v>686</v>
      </c>
      <c r="C843" s="43"/>
      <c r="D843" s="82"/>
      <c r="E843" s="82"/>
      <c r="F843" s="113">
        <f>SUM(F844,F956)</f>
        <v>1871247870.62</v>
      </c>
      <c r="G843" s="113">
        <f>SUM(G844,G956)</f>
        <v>16043392</v>
      </c>
      <c r="H843" s="54">
        <f>SUM(F843:G843)</f>
        <v>1887291262.62</v>
      </c>
      <c r="I843" s="33"/>
    </row>
    <row r="844" spans="1:9" s="45" customFormat="1" ht="15.75">
      <c r="A844" s="52" t="s">
        <v>687</v>
      </c>
      <c r="B844" s="87" t="s">
        <v>686</v>
      </c>
      <c r="C844" s="53" t="s">
        <v>425</v>
      </c>
      <c r="D844" s="82"/>
      <c r="E844" s="82"/>
      <c r="F844" s="88">
        <f>SUM(F845,F868,F901,F912,F918)</f>
        <v>1859496589.62</v>
      </c>
      <c r="G844" s="88">
        <f>SUM(G845,G868,G901,G912,G918)</f>
        <v>16043392</v>
      </c>
      <c r="H844" s="54">
        <f>SUM(F844:G844)</f>
        <v>1875539981.62</v>
      </c>
      <c r="I844" s="33"/>
    </row>
    <row r="845" spans="1:9" s="45" customFormat="1" ht="15.75">
      <c r="A845" s="55" t="s">
        <v>426</v>
      </c>
      <c r="B845" s="56" t="s">
        <v>686</v>
      </c>
      <c r="C845" s="57" t="s">
        <v>427</v>
      </c>
      <c r="D845" s="82"/>
      <c r="E845" s="82"/>
      <c r="F845" s="72">
        <f>SUM(F846,F863)</f>
        <v>650742246</v>
      </c>
      <c r="G845" s="72">
        <f>SUM(G846,G863)</f>
        <v>144364</v>
      </c>
      <c r="H845" s="58">
        <f>SUM(F845:G845)</f>
        <v>650886610</v>
      </c>
      <c r="I845" s="33"/>
    </row>
    <row r="846" spans="1:9" s="45" customFormat="1" ht="31.5">
      <c r="A846" s="65" t="s">
        <v>428</v>
      </c>
      <c r="B846" s="61" t="s">
        <v>686</v>
      </c>
      <c r="C846" s="62" t="s">
        <v>427</v>
      </c>
      <c r="D846" s="63" t="s">
        <v>429</v>
      </c>
      <c r="E846" s="63"/>
      <c r="F846" s="66">
        <f>F847</f>
        <v>649942246</v>
      </c>
      <c r="G846" s="66">
        <f>G847</f>
        <v>144364</v>
      </c>
      <c r="H846" s="64">
        <f>SUM(F846:G846)</f>
        <v>650086610</v>
      </c>
      <c r="I846" s="33"/>
    </row>
    <row r="847" spans="1:9" s="45" customFormat="1" ht="31.5">
      <c r="A847" s="83" t="s">
        <v>430</v>
      </c>
      <c r="B847" s="61" t="s">
        <v>686</v>
      </c>
      <c r="C847" s="62" t="s">
        <v>427</v>
      </c>
      <c r="D847" s="63" t="s">
        <v>431</v>
      </c>
      <c r="E847" s="63"/>
      <c r="F847" s="66">
        <f>SUM(F848,F854,F857,F860)</f>
        <v>649942246</v>
      </c>
      <c r="G847" s="66">
        <f>SUM(G848,G854,G857,G860)</f>
        <v>144364</v>
      </c>
      <c r="H847" s="64">
        <f>SUM(F847:G847)</f>
        <v>650086610</v>
      </c>
      <c r="I847" s="33"/>
    </row>
    <row r="848" spans="1:9" s="45" customFormat="1" ht="31.5">
      <c r="A848" s="83" t="s">
        <v>688</v>
      </c>
      <c r="B848" s="61" t="s">
        <v>686</v>
      </c>
      <c r="C848" s="62" t="s">
        <v>427</v>
      </c>
      <c r="D848" s="63" t="s">
        <v>689</v>
      </c>
      <c r="E848" s="63"/>
      <c r="F848" s="66">
        <f>SUM(F849,F852)</f>
        <v>376465394</v>
      </c>
      <c r="G848" s="66">
        <f>SUM(G849,G852)</f>
        <v>144364</v>
      </c>
      <c r="H848" s="64">
        <f>SUM(F848:G848)</f>
        <v>376609758</v>
      </c>
      <c r="I848" s="33"/>
    </row>
    <row r="849" spans="1:9" s="45" customFormat="1" ht="31.5">
      <c r="A849" s="65" t="s">
        <v>167</v>
      </c>
      <c r="B849" s="61" t="s">
        <v>686</v>
      </c>
      <c r="C849" s="62" t="s">
        <v>427</v>
      </c>
      <c r="D849" s="63" t="s">
        <v>689</v>
      </c>
      <c r="E849" s="63">
        <v>600</v>
      </c>
      <c r="F849" s="66">
        <f>SUM(F850:F851)</f>
        <v>373425624</v>
      </c>
      <c r="G849" s="66">
        <f>SUM(G850:G851)</f>
        <v>-3304539</v>
      </c>
      <c r="H849" s="64">
        <f>SUM(F849:G849)</f>
        <v>370121085</v>
      </c>
      <c r="I849" s="33"/>
    </row>
    <row r="850" spans="1:9" s="45" customFormat="1" ht="15.75">
      <c r="A850" s="65" t="s">
        <v>168</v>
      </c>
      <c r="B850" s="61" t="s">
        <v>686</v>
      </c>
      <c r="C850" s="62" t="s">
        <v>427</v>
      </c>
      <c r="D850" s="63" t="s">
        <v>689</v>
      </c>
      <c r="E850" s="63">
        <v>610</v>
      </c>
      <c r="F850" s="69">
        <v>372263241</v>
      </c>
      <c r="G850" s="69">
        <f>-3469298+144364</f>
        <v>-3324934</v>
      </c>
      <c r="H850" s="64">
        <f>SUM(F850:G850)</f>
        <v>368938307</v>
      </c>
      <c r="I850" s="33"/>
    </row>
    <row r="851" spans="1:9" s="45" customFormat="1" ht="36.75" customHeight="1">
      <c r="A851" s="65" t="s">
        <v>177</v>
      </c>
      <c r="B851" s="61" t="s">
        <v>686</v>
      </c>
      <c r="C851" s="62" t="s">
        <v>427</v>
      </c>
      <c r="D851" s="63" t="s">
        <v>689</v>
      </c>
      <c r="E851" s="63">
        <v>630</v>
      </c>
      <c r="F851" s="69">
        <v>1162383</v>
      </c>
      <c r="G851" s="69">
        <v>20395</v>
      </c>
      <c r="H851" s="64">
        <f>SUM(F851:G851)</f>
        <v>1182778</v>
      </c>
      <c r="I851" s="33"/>
    </row>
    <row r="852" spans="1:8" ht="15.75">
      <c r="A852" s="65" t="s">
        <v>129</v>
      </c>
      <c r="B852" s="61" t="s">
        <v>686</v>
      </c>
      <c r="C852" s="62" t="s">
        <v>427</v>
      </c>
      <c r="D852" s="63" t="s">
        <v>689</v>
      </c>
      <c r="E852" s="63">
        <v>800</v>
      </c>
      <c r="F852" s="69">
        <f>F853</f>
        <v>3039770</v>
      </c>
      <c r="G852" s="69">
        <f>G853</f>
        <v>3448903</v>
      </c>
      <c r="H852" s="64">
        <f>SUM(F852:G852)</f>
        <v>6488673</v>
      </c>
    </row>
    <row r="853" spans="1:9" s="45" customFormat="1" ht="47.25">
      <c r="A853" s="65" t="s">
        <v>243</v>
      </c>
      <c r="B853" s="61" t="s">
        <v>686</v>
      </c>
      <c r="C853" s="62" t="s">
        <v>427</v>
      </c>
      <c r="D853" s="63" t="s">
        <v>689</v>
      </c>
      <c r="E853" s="63">
        <v>810</v>
      </c>
      <c r="F853" s="69">
        <v>3039770</v>
      </c>
      <c r="G853" s="69">
        <v>3448903</v>
      </c>
      <c r="H853" s="64">
        <f>SUM(F853:G853)</f>
        <v>6488673</v>
      </c>
      <c r="I853" s="33"/>
    </row>
    <row r="854" spans="1:9" s="45" customFormat="1" ht="36" customHeight="1">
      <c r="A854" s="83" t="s">
        <v>690</v>
      </c>
      <c r="B854" s="61" t="s">
        <v>686</v>
      </c>
      <c r="C854" s="62" t="s">
        <v>427</v>
      </c>
      <c r="D854" s="63" t="s">
        <v>691</v>
      </c>
      <c r="E854" s="63"/>
      <c r="F854" s="66">
        <f>F855</f>
        <v>119400000</v>
      </c>
      <c r="G854" s="66">
        <f>G855</f>
        <v>14027534</v>
      </c>
      <c r="H854" s="64">
        <f>SUM(F854:G854)</f>
        <v>133427534</v>
      </c>
      <c r="I854" s="33"/>
    </row>
    <row r="855" spans="1:9" s="45" customFormat="1" ht="31.5">
      <c r="A855" s="65" t="s">
        <v>167</v>
      </c>
      <c r="B855" s="61" t="s">
        <v>686</v>
      </c>
      <c r="C855" s="62" t="s">
        <v>427</v>
      </c>
      <c r="D855" s="63" t="s">
        <v>691</v>
      </c>
      <c r="E855" s="63">
        <v>600</v>
      </c>
      <c r="F855" s="66">
        <f>F856</f>
        <v>119400000</v>
      </c>
      <c r="G855" s="66">
        <f>G856</f>
        <v>14027534</v>
      </c>
      <c r="H855" s="64">
        <f>SUM(F855:G855)</f>
        <v>133427534</v>
      </c>
      <c r="I855" s="33"/>
    </row>
    <row r="856" spans="1:9" s="45" customFormat="1" ht="15.75">
      <c r="A856" s="65" t="s">
        <v>168</v>
      </c>
      <c r="B856" s="61" t="s">
        <v>686</v>
      </c>
      <c r="C856" s="62" t="s">
        <v>427</v>
      </c>
      <c r="D856" s="63" t="s">
        <v>691</v>
      </c>
      <c r="E856" s="63">
        <v>610</v>
      </c>
      <c r="F856" s="66">
        <v>119400000</v>
      </c>
      <c r="G856" s="66">
        <v>14027534</v>
      </c>
      <c r="H856" s="64">
        <f>SUM(F856:G856)</f>
        <v>133427534</v>
      </c>
      <c r="I856" s="33"/>
    </row>
    <row r="857" spans="1:9" s="45" customFormat="1" ht="61.5" customHeight="1">
      <c r="A857" s="95" t="s">
        <v>692</v>
      </c>
      <c r="B857" s="61" t="s">
        <v>686</v>
      </c>
      <c r="C857" s="62" t="s">
        <v>427</v>
      </c>
      <c r="D857" s="63" t="s">
        <v>693</v>
      </c>
      <c r="E857" s="63"/>
      <c r="F857" s="66">
        <f>F858</f>
        <v>134076852</v>
      </c>
      <c r="G857" s="66">
        <f>G858</f>
        <v>-14027534</v>
      </c>
      <c r="H857" s="64">
        <f>SUM(F857:G857)</f>
        <v>120049318</v>
      </c>
      <c r="I857" s="33"/>
    </row>
    <row r="858" spans="1:9" s="45" customFormat="1" ht="31.5">
      <c r="A858" s="65" t="s">
        <v>167</v>
      </c>
      <c r="B858" s="61" t="s">
        <v>686</v>
      </c>
      <c r="C858" s="62" t="s">
        <v>427</v>
      </c>
      <c r="D858" s="63" t="s">
        <v>693</v>
      </c>
      <c r="E858" s="63">
        <v>600</v>
      </c>
      <c r="F858" s="66">
        <f>F859</f>
        <v>134076852</v>
      </c>
      <c r="G858" s="66">
        <f>G859</f>
        <v>-14027534</v>
      </c>
      <c r="H858" s="64">
        <f>SUM(F858:G858)</f>
        <v>120049318</v>
      </c>
      <c r="I858" s="33"/>
    </row>
    <row r="859" spans="1:8" s="123" customFormat="1" ht="16.5">
      <c r="A859" s="65" t="s">
        <v>168</v>
      </c>
      <c r="B859" s="61" t="s">
        <v>686</v>
      </c>
      <c r="C859" s="62" t="s">
        <v>427</v>
      </c>
      <c r="D859" s="63" t="s">
        <v>693</v>
      </c>
      <c r="E859" s="63">
        <v>610</v>
      </c>
      <c r="F859" s="66">
        <f>114046852+20030000</f>
        <v>134076852</v>
      </c>
      <c r="G859" s="66">
        <v>-14027534</v>
      </c>
      <c r="H859" s="64">
        <f>SUM(F859:G859)</f>
        <v>120049318</v>
      </c>
    </row>
    <row r="860" spans="1:9" s="124" customFormat="1" ht="31.5">
      <c r="A860" s="83" t="s">
        <v>694</v>
      </c>
      <c r="B860" s="61" t="s">
        <v>686</v>
      </c>
      <c r="C860" s="62" t="s">
        <v>427</v>
      </c>
      <c r="D860" s="63" t="s">
        <v>695</v>
      </c>
      <c r="E860" s="63"/>
      <c r="F860" s="66">
        <f>F861</f>
        <v>20000000</v>
      </c>
      <c r="G860" s="66">
        <f>G861</f>
        <v>0</v>
      </c>
      <c r="H860" s="64">
        <f>SUM(F860:G860)</f>
        <v>20000000</v>
      </c>
      <c r="I860" s="110"/>
    </row>
    <row r="861" spans="1:9" s="124" customFormat="1" ht="31.5">
      <c r="A861" s="65" t="s">
        <v>167</v>
      </c>
      <c r="B861" s="61" t="s">
        <v>686</v>
      </c>
      <c r="C861" s="62" t="s">
        <v>427</v>
      </c>
      <c r="D861" s="63" t="s">
        <v>695</v>
      </c>
      <c r="E861" s="63">
        <v>600</v>
      </c>
      <c r="F861" s="66">
        <f>F862</f>
        <v>20000000</v>
      </c>
      <c r="G861" s="66">
        <f>G862</f>
        <v>0</v>
      </c>
      <c r="H861" s="64">
        <f>SUM(F861:G861)</f>
        <v>20000000</v>
      </c>
      <c r="I861" s="110"/>
    </row>
    <row r="862" spans="1:9" s="124" customFormat="1" ht="15.75">
      <c r="A862" s="65" t="s">
        <v>168</v>
      </c>
      <c r="B862" s="61" t="s">
        <v>686</v>
      </c>
      <c r="C862" s="62" t="s">
        <v>427</v>
      </c>
      <c r="D862" s="63" t="s">
        <v>695</v>
      </c>
      <c r="E862" s="63">
        <v>610</v>
      </c>
      <c r="F862" s="66">
        <v>20000000</v>
      </c>
      <c r="G862" s="66">
        <v>0</v>
      </c>
      <c r="H862" s="64">
        <f>SUM(F862:G862)</f>
        <v>20000000</v>
      </c>
      <c r="I862" s="110"/>
    </row>
    <row r="863" spans="1:8" ht="31.5">
      <c r="A863" s="65" t="s">
        <v>169</v>
      </c>
      <c r="B863" s="61" t="s">
        <v>686</v>
      </c>
      <c r="C863" s="62" t="s">
        <v>427</v>
      </c>
      <c r="D863" s="63" t="s">
        <v>170</v>
      </c>
      <c r="E863" s="63"/>
      <c r="F863" s="66">
        <f>SUM(F864)</f>
        <v>800000</v>
      </c>
      <c r="G863" s="66">
        <f>SUM(G864)</f>
        <v>0</v>
      </c>
      <c r="H863" s="64">
        <f>SUM(F863:G863)</f>
        <v>800000</v>
      </c>
    </row>
    <row r="864" spans="1:8" ht="47.25">
      <c r="A864" s="83" t="s">
        <v>171</v>
      </c>
      <c r="B864" s="61" t="s">
        <v>686</v>
      </c>
      <c r="C864" s="62" t="s">
        <v>427</v>
      </c>
      <c r="D864" s="63" t="s">
        <v>172</v>
      </c>
      <c r="E864" s="63"/>
      <c r="F864" s="66">
        <f>F865</f>
        <v>800000</v>
      </c>
      <c r="G864" s="66">
        <f>G865</f>
        <v>0</v>
      </c>
      <c r="H864" s="64">
        <f>SUM(F864:G864)</f>
        <v>800000</v>
      </c>
    </row>
    <row r="865" spans="1:8" ht="31.5">
      <c r="A865" s="83" t="s">
        <v>696</v>
      </c>
      <c r="B865" s="61" t="s">
        <v>686</v>
      </c>
      <c r="C865" s="62" t="s">
        <v>427</v>
      </c>
      <c r="D865" s="63" t="s">
        <v>697</v>
      </c>
      <c r="E865" s="63"/>
      <c r="F865" s="66">
        <f>F866</f>
        <v>800000</v>
      </c>
      <c r="G865" s="66">
        <f>G866</f>
        <v>0</v>
      </c>
      <c r="H865" s="64">
        <f>SUM(F865:G865)</f>
        <v>800000</v>
      </c>
    </row>
    <row r="866" spans="1:8" ht="31.5">
      <c r="A866" s="65" t="s">
        <v>167</v>
      </c>
      <c r="B866" s="61" t="s">
        <v>686</v>
      </c>
      <c r="C866" s="62" t="s">
        <v>427</v>
      </c>
      <c r="D866" s="63" t="s">
        <v>697</v>
      </c>
      <c r="E866" s="63">
        <v>600</v>
      </c>
      <c r="F866" s="66">
        <f>F867</f>
        <v>800000</v>
      </c>
      <c r="G866" s="66">
        <f>G867</f>
        <v>0</v>
      </c>
      <c r="H866" s="64">
        <f>SUM(F866:G866)</f>
        <v>800000</v>
      </c>
    </row>
    <row r="867" spans="1:8" ht="15.75">
      <c r="A867" s="65" t="s">
        <v>168</v>
      </c>
      <c r="B867" s="61" t="s">
        <v>686</v>
      </c>
      <c r="C867" s="62" t="s">
        <v>427</v>
      </c>
      <c r="D867" s="63" t="s">
        <v>697</v>
      </c>
      <c r="E867" s="63">
        <v>610</v>
      </c>
      <c r="F867" s="69">
        <v>800000</v>
      </c>
      <c r="G867" s="69">
        <v>0</v>
      </c>
      <c r="H867" s="64">
        <f>SUM(F867:G867)</f>
        <v>800000</v>
      </c>
    </row>
    <row r="868" spans="1:8" ht="15.75">
      <c r="A868" s="55" t="s">
        <v>698</v>
      </c>
      <c r="B868" s="56" t="s">
        <v>686</v>
      </c>
      <c r="C868" s="57" t="s">
        <v>699</v>
      </c>
      <c r="D868" s="63"/>
      <c r="E868" s="63"/>
      <c r="F868" s="72">
        <f>SUM(F869)</f>
        <v>1051066682.62</v>
      </c>
      <c r="G868" s="72">
        <f>SUM(G869)</f>
        <v>15599028</v>
      </c>
      <c r="H868" s="58">
        <f>SUM(F868:G868)</f>
        <v>1066665710.62</v>
      </c>
    </row>
    <row r="869" spans="1:8" ht="31.5">
      <c r="A869" s="65" t="s">
        <v>428</v>
      </c>
      <c r="B869" s="61" t="s">
        <v>686</v>
      </c>
      <c r="C869" s="62" t="s">
        <v>699</v>
      </c>
      <c r="D869" s="63" t="s">
        <v>429</v>
      </c>
      <c r="E869" s="63"/>
      <c r="F869" s="66">
        <f>SUM(F870,F893)</f>
        <v>1051066682.62</v>
      </c>
      <c r="G869" s="66">
        <f>SUM(G870,G893)</f>
        <v>15599028</v>
      </c>
      <c r="H869" s="64">
        <f>SUM(F869:G869)</f>
        <v>1066665710.62</v>
      </c>
    </row>
    <row r="870" spans="1:8" ht="31.5">
      <c r="A870" s="83" t="s">
        <v>668</v>
      </c>
      <c r="B870" s="61" t="s">
        <v>686</v>
      </c>
      <c r="C870" s="62" t="s">
        <v>699</v>
      </c>
      <c r="D870" s="63" t="s">
        <v>669</v>
      </c>
      <c r="E870" s="63"/>
      <c r="F870" s="66">
        <f>SUM(F871,F875,F878,F881,F887,F890,F884)</f>
        <v>957382757.78</v>
      </c>
      <c r="G870" s="66">
        <f>SUM(G871,G875,G878,G881,G887,G890,G884)</f>
        <v>15599028</v>
      </c>
      <c r="H870" s="64">
        <f>SUM(F870:G870)</f>
        <v>972981785.78</v>
      </c>
    </row>
    <row r="871" spans="1:8" ht="31.5">
      <c r="A871" s="83" t="s">
        <v>700</v>
      </c>
      <c r="B871" s="61" t="s">
        <v>686</v>
      </c>
      <c r="C871" s="62" t="s">
        <v>699</v>
      </c>
      <c r="D871" s="63" t="s">
        <v>701</v>
      </c>
      <c r="E871" s="63"/>
      <c r="F871" s="66">
        <f>F872</f>
        <v>712847852</v>
      </c>
      <c r="G871" s="66">
        <f>G872</f>
        <v>8005916</v>
      </c>
      <c r="H871" s="64">
        <f>SUM(F871:G871)</f>
        <v>720853768</v>
      </c>
    </row>
    <row r="872" spans="1:8" ht="31.5">
      <c r="A872" s="65" t="s">
        <v>167</v>
      </c>
      <c r="B872" s="61" t="s">
        <v>686</v>
      </c>
      <c r="C872" s="62" t="s">
        <v>699</v>
      </c>
      <c r="D872" s="63" t="s">
        <v>701</v>
      </c>
      <c r="E872" s="63">
        <v>600</v>
      </c>
      <c r="F872" s="66">
        <f>F873+F874</f>
        <v>712847852</v>
      </c>
      <c r="G872" s="66">
        <f>G873+G874</f>
        <v>8005916</v>
      </c>
      <c r="H872" s="64">
        <f>SUM(F872:G872)</f>
        <v>720853768</v>
      </c>
    </row>
    <row r="873" spans="1:8" ht="15.75">
      <c r="A873" s="65" t="s">
        <v>168</v>
      </c>
      <c r="B873" s="61" t="s">
        <v>686</v>
      </c>
      <c r="C873" s="62" t="s">
        <v>699</v>
      </c>
      <c r="D873" s="63" t="s">
        <v>701</v>
      </c>
      <c r="E873" s="63">
        <v>610</v>
      </c>
      <c r="F873" s="69">
        <v>681769189</v>
      </c>
      <c r="G873" s="69">
        <f>-4580520+7642544</f>
        <v>3062024</v>
      </c>
      <c r="H873" s="64">
        <f>SUM(F873:G873)</f>
        <v>684831213</v>
      </c>
    </row>
    <row r="874" spans="1:8" ht="31.5">
      <c r="A874" s="65" t="s">
        <v>177</v>
      </c>
      <c r="B874" s="61" t="s">
        <v>686</v>
      </c>
      <c r="C874" s="62" t="s">
        <v>699</v>
      </c>
      <c r="D874" s="63" t="s">
        <v>701</v>
      </c>
      <c r="E874" s="63">
        <v>630</v>
      </c>
      <c r="F874" s="69">
        <v>31078663</v>
      </c>
      <c r="G874" s="69">
        <f>4580520+363372</f>
        <v>4943892</v>
      </c>
      <c r="H874" s="64">
        <f>SUM(F874:G874)</f>
        <v>36022555</v>
      </c>
    </row>
    <row r="875" spans="1:8" ht="31.5">
      <c r="A875" s="83" t="s">
        <v>702</v>
      </c>
      <c r="B875" s="61" t="s">
        <v>686</v>
      </c>
      <c r="C875" s="62" t="s">
        <v>699</v>
      </c>
      <c r="D875" s="63" t="s">
        <v>703</v>
      </c>
      <c r="E875" s="63"/>
      <c r="F875" s="69">
        <f>F876</f>
        <v>2174472</v>
      </c>
      <c r="G875" s="69">
        <f>G876</f>
        <v>0</v>
      </c>
      <c r="H875" s="64">
        <f>SUM(F875:G875)</f>
        <v>2174472</v>
      </c>
    </row>
    <row r="876" spans="1:8" ht="31.5">
      <c r="A876" s="65" t="s">
        <v>167</v>
      </c>
      <c r="B876" s="61" t="s">
        <v>686</v>
      </c>
      <c r="C876" s="62" t="s">
        <v>699</v>
      </c>
      <c r="D876" s="63" t="s">
        <v>703</v>
      </c>
      <c r="E876" s="63">
        <v>600</v>
      </c>
      <c r="F876" s="69">
        <f>F877</f>
        <v>2174472</v>
      </c>
      <c r="G876" s="69">
        <f>G877</f>
        <v>0</v>
      </c>
      <c r="H876" s="64">
        <f>SUM(F876:G876)</f>
        <v>2174472</v>
      </c>
    </row>
    <row r="877" spans="1:8" ht="15.75">
      <c r="A877" s="65" t="s">
        <v>168</v>
      </c>
      <c r="B877" s="61" t="s">
        <v>686</v>
      </c>
      <c r="C877" s="62" t="s">
        <v>699</v>
      </c>
      <c r="D877" s="63" t="s">
        <v>703</v>
      </c>
      <c r="E877" s="63">
        <v>610</v>
      </c>
      <c r="F877" s="69">
        <v>2174472</v>
      </c>
      <c r="G877" s="69">
        <v>0</v>
      </c>
      <c r="H877" s="64">
        <f>SUM(F877:G877)</f>
        <v>2174472</v>
      </c>
    </row>
    <row r="878" spans="1:8" ht="31.5">
      <c r="A878" s="83" t="s">
        <v>704</v>
      </c>
      <c r="B878" s="61" t="s">
        <v>686</v>
      </c>
      <c r="C878" s="62" t="s">
        <v>699</v>
      </c>
      <c r="D878" s="63" t="s">
        <v>705</v>
      </c>
      <c r="E878" s="63"/>
      <c r="F878" s="66">
        <f>F879</f>
        <v>170200000</v>
      </c>
      <c r="G878" s="66">
        <f>G879</f>
        <v>400000</v>
      </c>
      <c r="H878" s="64">
        <f>SUM(F878:G878)</f>
        <v>170600000</v>
      </c>
    </row>
    <row r="879" spans="1:8" ht="31.5">
      <c r="A879" s="65" t="s">
        <v>167</v>
      </c>
      <c r="B879" s="61" t="s">
        <v>686</v>
      </c>
      <c r="C879" s="62" t="s">
        <v>699</v>
      </c>
      <c r="D879" s="63" t="s">
        <v>705</v>
      </c>
      <c r="E879" s="63">
        <v>600</v>
      </c>
      <c r="F879" s="66">
        <f>F880</f>
        <v>170200000</v>
      </c>
      <c r="G879" s="66">
        <f>G880</f>
        <v>400000</v>
      </c>
      <c r="H879" s="64">
        <f>SUM(F879:G879)</f>
        <v>170600000</v>
      </c>
    </row>
    <row r="880" spans="1:8" ht="15.75">
      <c r="A880" s="65" t="s">
        <v>168</v>
      </c>
      <c r="B880" s="61" t="s">
        <v>686</v>
      </c>
      <c r="C880" s="62" t="s">
        <v>699</v>
      </c>
      <c r="D880" s="63" t="s">
        <v>705</v>
      </c>
      <c r="E880" s="63">
        <v>610</v>
      </c>
      <c r="F880" s="66">
        <v>170200000</v>
      </c>
      <c r="G880" s="66">
        <v>400000</v>
      </c>
      <c r="H880" s="64">
        <f>SUM(F880:G880)</f>
        <v>170600000</v>
      </c>
    </row>
    <row r="881" spans="1:8" ht="31.5">
      <c r="A881" s="83" t="s">
        <v>706</v>
      </c>
      <c r="B881" s="61" t="s">
        <v>686</v>
      </c>
      <c r="C881" s="62" t="s">
        <v>699</v>
      </c>
      <c r="D881" s="63" t="s">
        <v>707</v>
      </c>
      <c r="E881" s="63"/>
      <c r="F881" s="66">
        <f>F882</f>
        <v>30370210.62</v>
      </c>
      <c r="G881" s="66">
        <f>G882</f>
        <v>5193112</v>
      </c>
      <c r="H881" s="64">
        <f>SUM(F881:G881)</f>
        <v>35563322.620000005</v>
      </c>
    </row>
    <row r="882" spans="1:8" ht="31.5">
      <c r="A882" s="65" t="s">
        <v>167</v>
      </c>
      <c r="B882" s="61" t="s">
        <v>686</v>
      </c>
      <c r="C882" s="62" t="s">
        <v>699</v>
      </c>
      <c r="D882" s="63" t="s">
        <v>707</v>
      </c>
      <c r="E882" s="63">
        <v>600</v>
      </c>
      <c r="F882" s="66">
        <f>F883</f>
        <v>30370210.62</v>
      </c>
      <c r="G882" s="66">
        <f>G883</f>
        <v>5193112</v>
      </c>
      <c r="H882" s="64">
        <f>SUM(F882:G882)</f>
        <v>35563322.620000005</v>
      </c>
    </row>
    <row r="883" spans="1:8" ht="15.75">
      <c r="A883" s="65" t="s">
        <v>168</v>
      </c>
      <c r="B883" s="61" t="s">
        <v>686</v>
      </c>
      <c r="C883" s="62" t="s">
        <v>699</v>
      </c>
      <c r="D883" s="63" t="s">
        <v>707</v>
      </c>
      <c r="E883" s="63">
        <v>610</v>
      </c>
      <c r="F883" s="66">
        <v>30370210.62</v>
      </c>
      <c r="G883" s="66">
        <v>5193112</v>
      </c>
      <c r="H883" s="64">
        <f>SUM(F883:G883)</f>
        <v>35563322.620000005</v>
      </c>
    </row>
    <row r="884" spans="1:8" ht="63" customHeight="1">
      <c r="A884" s="65" t="s">
        <v>708</v>
      </c>
      <c r="B884" s="61" t="s">
        <v>686</v>
      </c>
      <c r="C884" s="62" t="s">
        <v>699</v>
      </c>
      <c r="D884" s="63" t="s">
        <v>709</v>
      </c>
      <c r="E884" s="63"/>
      <c r="F884" s="66">
        <f>F885</f>
        <v>0</v>
      </c>
      <c r="G884" s="66">
        <f>G885</f>
        <v>2000000</v>
      </c>
      <c r="H884" s="64">
        <f>SUM(F884:G884)</f>
        <v>2000000</v>
      </c>
    </row>
    <row r="885" spans="1:8" ht="31.5">
      <c r="A885" s="65" t="s">
        <v>167</v>
      </c>
      <c r="B885" s="61" t="s">
        <v>686</v>
      </c>
      <c r="C885" s="62" t="s">
        <v>699</v>
      </c>
      <c r="D885" s="63" t="s">
        <v>709</v>
      </c>
      <c r="E885" s="63">
        <v>600</v>
      </c>
      <c r="F885" s="66">
        <f>F886</f>
        <v>0</v>
      </c>
      <c r="G885" s="66">
        <f>G886</f>
        <v>2000000</v>
      </c>
      <c r="H885" s="64">
        <f>SUM(F885:G885)</f>
        <v>2000000</v>
      </c>
    </row>
    <row r="886" spans="1:8" ht="15.75">
      <c r="A886" s="65" t="s">
        <v>168</v>
      </c>
      <c r="B886" s="61" t="s">
        <v>686</v>
      </c>
      <c r="C886" s="62" t="s">
        <v>699</v>
      </c>
      <c r="D886" s="63" t="s">
        <v>709</v>
      </c>
      <c r="E886" s="63">
        <v>610</v>
      </c>
      <c r="F886" s="66">
        <v>0</v>
      </c>
      <c r="G886" s="66">
        <v>2000000</v>
      </c>
      <c r="H886" s="64">
        <f>SUM(F886:G886)</f>
        <v>2000000</v>
      </c>
    </row>
    <row r="887" spans="1:8" ht="64.5" customHeight="1">
      <c r="A887" s="65" t="s">
        <v>710</v>
      </c>
      <c r="B887" s="61" t="s">
        <v>686</v>
      </c>
      <c r="C887" s="62" t="s">
        <v>699</v>
      </c>
      <c r="D887" s="63" t="s">
        <v>711</v>
      </c>
      <c r="E887" s="63"/>
      <c r="F887" s="66">
        <f>F888</f>
        <v>2105263.16</v>
      </c>
      <c r="G887" s="66">
        <f>G888</f>
        <v>0</v>
      </c>
      <c r="H887" s="64">
        <f>SUM(F887:G887)</f>
        <v>2105263.16</v>
      </c>
    </row>
    <row r="888" spans="1:8" ht="31.5">
      <c r="A888" s="65" t="s">
        <v>167</v>
      </c>
      <c r="B888" s="61" t="s">
        <v>686</v>
      </c>
      <c r="C888" s="62" t="s">
        <v>699</v>
      </c>
      <c r="D888" s="63" t="s">
        <v>711</v>
      </c>
      <c r="E888" s="63">
        <v>600</v>
      </c>
      <c r="F888" s="66">
        <f>F889</f>
        <v>2105263.16</v>
      </c>
      <c r="G888" s="66">
        <f>G889</f>
        <v>0</v>
      </c>
      <c r="H888" s="64">
        <f>SUM(F888:G888)</f>
        <v>2105263.16</v>
      </c>
    </row>
    <row r="889" spans="1:8" ht="15.75">
      <c r="A889" s="65" t="s">
        <v>168</v>
      </c>
      <c r="B889" s="61" t="s">
        <v>686</v>
      </c>
      <c r="C889" s="62" t="s">
        <v>699</v>
      </c>
      <c r="D889" s="63" t="s">
        <v>711</v>
      </c>
      <c r="E889" s="63">
        <v>610</v>
      </c>
      <c r="F889" s="66">
        <v>2105263.16</v>
      </c>
      <c r="G889" s="66">
        <v>0</v>
      </c>
      <c r="H889" s="64">
        <f>SUM(F889:G889)</f>
        <v>2105263.16</v>
      </c>
    </row>
    <row r="890" spans="1:8" ht="47.25">
      <c r="A890" s="65" t="s">
        <v>712</v>
      </c>
      <c r="B890" s="61" t="s">
        <v>686</v>
      </c>
      <c r="C890" s="62" t="s">
        <v>699</v>
      </c>
      <c r="D890" s="63" t="s">
        <v>713</v>
      </c>
      <c r="E890" s="63"/>
      <c r="F890" s="66">
        <f>F891</f>
        <v>39684960</v>
      </c>
      <c r="G890" s="66">
        <f>G891</f>
        <v>0</v>
      </c>
      <c r="H890" s="64">
        <f>SUM(F890:G890)</f>
        <v>39684960</v>
      </c>
    </row>
    <row r="891" spans="1:8" ht="31.5">
      <c r="A891" s="65" t="s">
        <v>167</v>
      </c>
      <c r="B891" s="61" t="s">
        <v>686</v>
      </c>
      <c r="C891" s="62" t="s">
        <v>699</v>
      </c>
      <c r="D891" s="63" t="s">
        <v>713</v>
      </c>
      <c r="E891" s="63">
        <v>600</v>
      </c>
      <c r="F891" s="66">
        <f>F892</f>
        <v>39684960</v>
      </c>
      <c r="G891" s="66">
        <f>G892</f>
        <v>0</v>
      </c>
      <c r="H891" s="64">
        <f>SUM(F891:G891)</f>
        <v>39684960</v>
      </c>
    </row>
    <row r="892" spans="1:8" ht="15.75">
      <c r="A892" s="65" t="s">
        <v>168</v>
      </c>
      <c r="B892" s="61" t="s">
        <v>686</v>
      </c>
      <c r="C892" s="62" t="s">
        <v>699</v>
      </c>
      <c r="D892" s="63" t="s">
        <v>713</v>
      </c>
      <c r="E892" s="63">
        <v>610</v>
      </c>
      <c r="F892" s="66">
        <v>39684960</v>
      </c>
      <c r="G892" s="66">
        <v>0</v>
      </c>
      <c r="H892" s="64">
        <f>SUM(F892:G892)</f>
        <v>39684960</v>
      </c>
    </row>
    <row r="893" spans="1:8" ht="47.25">
      <c r="A893" s="65" t="s">
        <v>714</v>
      </c>
      <c r="B893" s="61" t="s">
        <v>686</v>
      </c>
      <c r="C893" s="62" t="s">
        <v>699</v>
      </c>
      <c r="D893" s="63" t="s">
        <v>715</v>
      </c>
      <c r="E893" s="63"/>
      <c r="F893" s="66">
        <f>F894+F898</f>
        <v>93683924.84</v>
      </c>
      <c r="G893" s="66">
        <f>G894+G898</f>
        <v>0</v>
      </c>
      <c r="H893" s="64">
        <f>SUM(F893:G893)</f>
        <v>93683924.84</v>
      </c>
    </row>
    <row r="894" spans="1:8" ht="42" customHeight="1">
      <c r="A894" s="65" t="s">
        <v>716</v>
      </c>
      <c r="B894" s="61" t="s">
        <v>686</v>
      </c>
      <c r="C894" s="62" t="s">
        <v>699</v>
      </c>
      <c r="D894" s="63" t="s">
        <v>717</v>
      </c>
      <c r="E894" s="63"/>
      <c r="F894" s="66">
        <f>F895</f>
        <v>27500000</v>
      </c>
      <c r="G894" s="66">
        <f>G895</f>
        <v>-2624353.16</v>
      </c>
      <c r="H894" s="64">
        <f>SUM(F894:G894)</f>
        <v>24875646.84</v>
      </c>
    </row>
    <row r="895" spans="1:8" ht="31.5">
      <c r="A895" s="65" t="s">
        <v>167</v>
      </c>
      <c r="B895" s="61" t="s">
        <v>686</v>
      </c>
      <c r="C895" s="62" t="s">
        <v>699</v>
      </c>
      <c r="D895" s="63" t="s">
        <v>717</v>
      </c>
      <c r="E895" s="63">
        <v>600</v>
      </c>
      <c r="F895" s="66">
        <f>SUM(F896:F897)</f>
        <v>27500000</v>
      </c>
      <c r="G895" s="66">
        <f>SUM(G896:G897)</f>
        <v>-2624353.16</v>
      </c>
      <c r="H895" s="64">
        <f>SUM(F895:G895)</f>
        <v>24875646.84</v>
      </c>
    </row>
    <row r="896" spans="1:8" ht="15.75">
      <c r="A896" s="65" t="s">
        <v>168</v>
      </c>
      <c r="B896" s="61" t="s">
        <v>686</v>
      </c>
      <c r="C896" s="62" t="s">
        <v>699</v>
      </c>
      <c r="D896" s="63" t="s">
        <v>717</v>
      </c>
      <c r="E896" s="63">
        <v>610</v>
      </c>
      <c r="F896" s="66">
        <v>26200000</v>
      </c>
      <c r="G896" s="66">
        <v>-2624353.16</v>
      </c>
      <c r="H896" s="64">
        <f>SUM(F896:G896)</f>
        <v>23575646.84</v>
      </c>
    </row>
    <row r="897" spans="1:8" ht="31.5">
      <c r="A897" s="65" t="s">
        <v>177</v>
      </c>
      <c r="B897" s="61" t="s">
        <v>686</v>
      </c>
      <c r="C897" s="62" t="s">
        <v>699</v>
      </c>
      <c r="D897" s="63" t="s">
        <v>717</v>
      </c>
      <c r="E897" s="63">
        <v>630</v>
      </c>
      <c r="F897" s="66">
        <v>1300000</v>
      </c>
      <c r="G897" s="66">
        <v>0</v>
      </c>
      <c r="H897" s="64">
        <f>SUM(F897:G897)</f>
        <v>1300000</v>
      </c>
    </row>
    <row r="898" spans="1:8" ht="54.75" customHeight="1">
      <c r="A898" s="65" t="s">
        <v>718</v>
      </c>
      <c r="B898" s="61" t="s">
        <v>686</v>
      </c>
      <c r="C898" s="62" t="s">
        <v>699</v>
      </c>
      <c r="D898" s="63" t="s">
        <v>719</v>
      </c>
      <c r="E898" s="63"/>
      <c r="F898" s="66">
        <f>F899</f>
        <v>66183924.84</v>
      </c>
      <c r="G898" s="66">
        <f>G899</f>
        <v>2624353.16</v>
      </c>
      <c r="H898" s="64">
        <f>SUM(F898:G898)</f>
        <v>68808278</v>
      </c>
    </row>
    <row r="899" spans="1:8" ht="31.5">
      <c r="A899" s="65" t="s">
        <v>167</v>
      </c>
      <c r="B899" s="61" t="s">
        <v>686</v>
      </c>
      <c r="C899" s="62" t="s">
        <v>699</v>
      </c>
      <c r="D899" s="63" t="s">
        <v>719</v>
      </c>
      <c r="E899" s="63">
        <v>600</v>
      </c>
      <c r="F899" s="66">
        <f>F900</f>
        <v>66183924.84</v>
      </c>
      <c r="G899" s="66">
        <f>G900</f>
        <v>2624353.16</v>
      </c>
      <c r="H899" s="64">
        <f>SUM(F899:G899)</f>
        <v>68808278</v>
      </c>
    </row>
    <row r="900" spans="1:8" ht="15.75">
      <c r="A900" s="65" t="s">
        <v>168</v>
      </c>
      <c r="B900" s="61" t="s">
        <v>686</v>
      </c>
      <c r="C900" s="62" t="s">
        <v>699</v>
      </c>
      <c r="D900" s="63" t="s">
        <v>719</v>
      </c>
      <c r="E900" s="63">
        <v>610</v>
      </c>
      <c r="F900" s="66">
        <v>66183924.84</v>
      </c>
      <c r="G900" s="66">
        <v>2624353.16</v>
      </c>
      <c r="H900" s="64">
        <f>SUM(F900:G900)</f>
        <v>68808278</v>
      </c>
    </row>
    <row r="901" spans="1:8" ht="15.75">
      <c r="A901" s="106" t="s">
        <v>515</v>
      </c>
      <c r="B901" s="56" t="s">
        <v>686</v>
      </c>
      <c r="C901" s="57" t="s">
        <v>516</v>
      </c>
      <c r="D901" s="71"/>
      <c r="E901" s="71"/>
      <c r="F901" s="107">
        <f>F902</f>
        <v>70400000</v>
      </c>
      <c r="G901" s="107">
        <f>G902</f>
        <v>0</v>
      </c>
      <c r="H901" s="58">
        <f>SUM(F901:G901)</f>
        <v>70400000</v>
      </c>
    </row>
    <row r="902" spans="1:8" ht="31.5">
      <c r="A902" s="65" t="s">
        <v>428</v>
      </c>
      <c r="B902" s="61" t="s">
        <v>686</v>
      </c>
      <c r="C902" s="62" t="s">
        <v>516</v>
      </c>
      <c r="D902" s="63" t="s">
        <v>429</v>
      </c>
      <c r="E902" s="63"/>
      <c r="F902" s="69">
        <f>F903</f>
        <v>70400000</v>
      </c>
      <c r="G902" s="69">
        <f>G903</f>
        <v>0</v>
      </c>
      <c r="H902" s="64">
        <f>SUM(F902:G902)</f>
        <v>70400000</v>
      </c>
    </row>
    <row r="903" spans="1:8" ht="31.5">
      <c r="A903" s="65" t="s">
        <v>720</v>
      </c>
      <c r="B903" s="61" t="s">
        <v>686</v>
      </c>
      <c r="C903" s="62" t="s">
        <v>516</v>
      </c>
      <c r="D903" s="63" t="s">
        <v>721</v>
      </c>
      <c r="E903" s="63"/>
      <c r="F903" s="66">
        <f>SUM(F904,F908)</f>
        <v>70400000</v>
      </c>
      <c r="G903" s="66">
        <f>SUM(G904,G908)</f>
        <v>0</v>
      </c>
      <c r="H903" s="64">
        <f>SUM(F903:G903)</f>
        <v>70400000</v>
      </c>
    </row>
    <row r="904" spans="1:8" ht="31.5">
      <c r="A904" s="65" t="s">
        <v>722</v>
      </c>
      <c r="B904" s="61" t="s">
        <v>686</v>
      </c>
      <c r="C904" s="62" t="s">
        <v>516</v>
      </c>
      <c r="D904" s="63" t="s">
        <v>723</v>
      </c>
      <c r="E904" s="63"/>
      <c r="F904" s="66">
        <f>F905</f>
        <v>69700000</v>
      </c>
      <c r="G904" s="66">
        <f>G905</f>
        <v>-650000</v>
      </c>
      <c r="H904" s="64">
        <f>SUM(F904:G904)</f>
        <v>69050000</v>
      </c>
    </row>
    <row r="905" spans="1:8" ht="31.5">
      <c r="A905" s="65" t="s">
        <v>167</v>
      </c>
      <c r="B905" s="61" t="s">
        <v>686</v>
      </c>
      <c r="C905" s="62" t="s">
        <v>516</v>
      </c>
      <c r="D905" s="63" t="s">
        <v>723</v>
      </c>
      <c r="E905" s="63">
        <v>600</v>
      </c>
      <c r="F905" s="66">
        <f>F906+F907</f>
        <v>69700000</v>
      </c>
      <c r="G905" s="66">
        <f>G906+G907</f>
        <v>-650000</v>
      </c>
      <c r="H905" s="64">
        <f>SUM(F905:G905)</f>
        <v>69050000</v>
      </c>
    </row>
    <row r="906" spans="1:8" ht="15.75">
      <c r="A906" s="65" t="s">
        <v>168</v>
      </c>
      <c r="B906" s="61" t="s">
        <v>686</v>
      </c>
      <c r="C906" s="62" t="s">
        <v>516</v>
      </c>
      <c r="D906" s="63" t="s">
        <v>723</v>
      </c>
      <c r="E906" s="63">
        <v>610</v>
      </c>
      <c r="F906" s="66">
        <v>68800000</v>
      </c>
      <c r="G906" s="66">
        <v>0</v>
      </c>
      <c r="H906" s="64">
        <f>SUM(F906:G906)</f>
        <v>68800000</v>
      </c>
    </row>
    <row r="907" spans="1:8" ht="15.75">
      <c r="A907" s="65" t="s">
        <v>397</v>
      </c>
      <c r="B907" s="61" t="s">
        <v>686</v>
      </c>
      <c r="C907" s="62" t="s">
        <v>516</v>
      </c>
      <c r="D907" s="63" t="s">
        <v>723</v>
      </c>
      <c r="E907" s="63">
        <v>620</v>
      </c>
      <c r="F907" s="66">
        <v>900000</v>
      </c>
      <c r="G907" s="66">
        <v>-650000</v>
      </c>
      <c r="H907" s="64">
        <f>SUM(F907:G907)</f>
        <v>250000</v>
      </c>
    </row>
    <row r="908" spans="1:8" ht="31.5">
      <c r="A908" s="65" t="s">
        <v>724</v>
      </c>
      <c r="B908" s="61" t="s">
        <v>686</v>
      </c>
      <c r="C908" s="62" t="s">
        <v>516</v>
      </c>
      <c r="D908" s="63" t="s">
        <v>725</v>
      </c>
      <c r="E908" s="63"/>
      <c r="F908" s="66">
        <f>F909</f>
        <v>700000</v>
      </c>
      <c r="G908" s="66">
        <f>G909</f>
        <v>650000</v>
      </c>
      <c r="H908" s="64">
        <f>SUM(F908:G908)</f>
        <v>1350000</v>
      </c>
    </row>
    <row r="909" spans="1:8" ht="31.5">
      <c r="A909" s="65" t="s">
        <v>167</v>
      </c>
      <c r="B909" s="61" t="s">
        <v>686</v>
      </c>
      <c r="C909" s="62" t="s">
        <v>516</v>
      </c>
      <c r="D909" s="63" t="s">
        <v>725</v>
      </c>
      <c r="E909" s="63">
        <v>600</v>
      </c>
      <c r="F909" s="66">
        <f>SUM(F910:F911)</f>
        <v>700000</v>
      </c>
      <c r="G909" s="66">
        <f>SUM(G910:G911)</f>
        <v>650000</v>
      </c>
      <c r="H909" s="64">
        <f>SUM(F909:G909)</f>
        <v>1350000</v>
      </c>
    </row>
    <row r="910" spans="1:8" ht="15.75">
      <c r="A910" s="65" t="s">
        <v>168</v>
      </c>
      <c r="B910" s="61" t="s">
        <v>686</v>
      </c>
      <c r="C910" s="62" t="s">
        <v>516</v>
      </c>
      <c r="D910" s="63" t="s">
        <v>725</v>
      </c>
      <c r="E910" s="63">
        <v>610</v>
      </c>
      <c r="F910" s="66">
        <v>500000</v>
      </c>
      <c r="G910" s="66">
        <v>0</v>
      </c>
      <c r="H910" s="64">
        <f>SUM(F910:G910)</f>
        <v>500000</v>
      </c>
    </row>
    <row r="911" spans="1:8" ht="15.75">
      <c r="A911" s="65" t="s">
        <v>397</v>
      </c>
      <c r="B911" s="61" t="s">
        <v>686</v>
      </c>
      <c r="C911" s="62" t="s">
        <v>516</v>
      </c>
      <c r="D911" s="63" t="s">
        <v>725</v>
      </c>
      <c r="E911" s="63">
        <v>620</v>
      </c>
      <c r="F911" s="66">
        <v>200000</v>
      </c>
      <c r="G911" s="66">
        <v>650000</v>
      </c>
      <c r="H911" s="64">
        <f>SUM(F911:G911)</f>
        <v>850000</v>
      </c>
    </row>
    <row r="912" spans="1:8" ht="15.75">
      <c r="A912" s="55" t="s">
        <v>726</v>
      </c>
      <c r="B912" s="56" t="s">
        <v>686</v>
      </c>
      <c r="C912" s="57" t="s">
        <v>528</v>
      </c>
      <c r="D912" s="63"/>
      <c r="E912" s="63"/>
      <c r="F912" s="72">
        <f>F913</f>
        <v>11708008</v>
      </c>
      <c r="G912" s="72">
        <f>G913</f>
        <v>0</v>
      </c>
      <c r="H912" s="58">
        <f>SUM(F912:G912)</f>
        <v>11708008</v>
      </c>
    </row>
    <row r="913" spans="1:8" ht="31.5">
      <c r="A913" s="65" t="s">
        <v>428</v>
      </c>
      <c r="B913" s="61" t="s">
        <v>686</v>
      </c>
      <c r="C913" s="62" t="s">
        <v>528</v>
      </c>
      <c r="D913" s="63" t="s">
        <v>429</v>
      </c>
      <c r="E913" s="63"/>
      <c r="F913" s="66">
        <f>F914</f>
        <v>11708008</v>
      </c>
      <c r="G913" s="66">
        <f>G914</f>
        <v>0</v>
      </c>
      <c r="H913" s="64">
        <f>SUM(F913:G913)</f>
        <v>11708008</v>
      </c>
    </row>
    <row r="914" spans="1:8" ht="31.5">
      <c r="A914" s="65" t="s">
        <v>727</v>
      </c>
      <c r="B914" s="61" t="s">
        <v>686</v>
      </c>
      <c r="C914" s="62" t="s">
        <v>528</v>
      </c>
      <c r="D914" s="63" t="s">
        <v>728</v>
      </c>
      <c r="E914" s="63"/>
      <c r="F914" s="66">
        <f>SUM(F915)</f>
        <v>11708008</v>
      </c>
      <c r="G914" s="66">
        <f>SUM(G915)</f>
        <v>0</v>
      </c>
      <c r="H914" s="64">
        <f>SUM(F914:G914)</f>
        <v>11708008</v>
      </c>
    </row>
    <row r="915" spans="1:8" ht="31.5">
      <c r="A915" s="65" t="s">
        <v>729</v>
      </c>
      <c r="B915" s="61" t="s">
        <v>686</v>
      </c>
      <c r="C915" s="62" t="s">
        <v>528</v>
      </c>
      <c r="D915" s="63" t="s">
        <v>730</v>
      </c>
      <c r="E915" s="63"/>
      <c r="F915" s="66">
        <f>F916</f>
        <v>11708008</v>
      </c>
      <c r="G915" s="66">
        <f>G916</f>
        <v>0</v>
      </c>
      <c r="H915" s="64">
        <f>SUM(F915:G915)</f>
        <v>11708008</v>
      </c>
    </row>
    <row r="916" spans="1:8" ht="31.5">
      <c r="A916" s="68" t="s">
        <v>121</v>
      </c>
      <c r="B916" s="61" t="s">
        <v>686</v>
      </c>
      <c r="C916" s="62" t="s">
        <v>528</v>
      </c>
      <c r="D916" s="63" t="s">
        <v>730</v>
      </c>
      <c r="E916" s="63">
        <v>200</v>
      </c>
      <c r="F916" s="66">
        <f>F917</f>
        <v>11708008</v>
      </c>
      <c r="G916" s="66">
        <f>G917</f>
        <v>0</v>
      </c>
      <c r="H916" s="64">
        <f>SUM(F916:G916)</f>
        <v>11708008</v>
      </c>
    </row>
    <row r="917" spans="1:8" ht="31.5">
      <c r="A917" s="68" t="s">
        <v>123</v>
      </c>
      <c r="B917" s="61" t="s">
        <v>686</v>
      </c>
      <c r="C917" s="62" t="s">
        <v>528</v>
      </c>
      <c r="D917" s="63" t="s">
        <v>730</v>
      </c>
      <c r="E917" s="63">
        <v>240</v>
      </c>
      <c r="F917" s="66">
        <f>2208008+9500000</f>
        <v>11708008</v>
      </c>
      <c r="G917" s="66">
        <v>0</v>
      </c>
      <c r="H917" s="64">
        <f>SUM(F917:G917)</f>
        <v>11708008</v>
      </c>
    </row>
    <row r="918" spans="1:8" ht="15.75">
      <c r="A918" s="55" t="s">
        <v>731</v>
      </c>
      <c r="B918" s="56" t="s">
        <v>686</v>
      </c>
      <c r="C918" s="57" t="s">
        <v>732</v>
      </c>
      <c r="D918" s="63"/>
      <c r="E918" s="63"/>
      <c r="F918" s="72">
        <f>F919</f>
        <v>75579653</v>
      </c>
      <c r="G918" s="72">
        <f>G919</f>
        <v>300000</v>
      </c>
      <c r="H918" s="58">
        <f>SUM(F918:G918)</f>
        <v>75879653</v>
      </c>
    </row>
    <row r="919" spans="1:8" ht="31.5">
      <c r="A919" s="65" t="s">
        <v>428</v>
      </c>
      <c r="B919" s="61" t="s">
        <v>686</v>
      </c>
      <c r="C919" s="62" t="s">
        <v>732</v>
      </c>
      <c r="D919" s="63" t="s">
        <v>429</v>
      </c>
      <c r="E919" s="63"/>
      <c r="F919" s="66">
        <f>SUM(F920,F926,F933)</f>
        <v>75579653</v>
      </c>
      <c r="G919" s="66">
        <f>SUM(G920,G926,G933)</f>
        <v>300000</v>
      </c>
      <c r="H919" s="64">
        <f>SUM(F919:G919)</f>
        <v>75879653</v>
      </c>
    </row>
    <row r="920" spans="1:8" ht="31.5">
      <c r="A920" s="65" t="s">
        <v>727</v>
      </c>
      <c r="B920" s="61" t="s">
        <v>686</v>
      </c>
      <c r="C920" s="62" t="s">
        <v>732</v>
      </c>
      <c r="D920" s="63" t="s">
        <v>728</v>
      </c>
      <c r="E920" s="63"/>
      <c r="F920" s="66">
        <f>F921</f>
        <v>2550000</v>
      </c>
      <c r="G920" s="66">
        <f>G921</f>
        <v>0</v>
      </c>
      <c r="H920" s="64">
        <f>SUM(F920:G920)</f>
        <v>2550000</v>
      </c>
    </row>
    <row r="921" spans="1:8" ht="31.5">
      <c r="A921" s="65" t="s">
        <v>733</v>
      </c>
      <c r="B921" s="61" t="s">
        <v>686</v>
      </c>
      <c r="C921" s="62" t="s">
        <v>732</v>
      </c>
      <c r="D921" s="63" t="s">
        <v>734</v>
      </c>
      <c r="E921" s="63"/>
      <c r="F921" s="66">
        <f>F922+F924</f>
        <v>2550000</v>
      </c>
      <c r="G921" s="66">
        <f>G922+G924</f>
        <v>0</v>
      </c>
      <c r="H921" s="64">
        <f>SUM(F921:G921)</f>
        <v>2550000</v>
      </c>
    </row>
    <row r="922" spans="1:8" ht="31.5">
      <c r="A922" s="68" t="s">
        <v>121</v>
      </c>
      <c r="B922" s="61" t="s">
        <v>686</v>
      </c>
      <c r="C922" s="62" t="s">
        <v>732</v>
      </c>
      <c r="D922" s="63" t="s">
        <v>734</v>
      </c>
      <c r="E922" s="63">
        <v>200</v>
      </c>
      <c r="F922" s="66">
        <f>F923</f>
        <v>2550000</v>
      </c>
      <c r="G922" s="66">
        <f>G923</f>
        <v>-2550000</v>
      </c>
      <c r="H922" s="64">
        <f>SUM(F922:G922)</f>
        <v>0</v>
      </c>
    </row>
    <row r="923" spans="1:8" ht="31.5">
      <c r="A923" s="68" t="s">
        <v>123</v>
      </c>
      <c r="B923" s="61" t="s">
        <v>686</v>
      </c>
      <c r="C923" s="62" t="s">
        <v>732</v>
      </c>
      <c r="D923" s="63" t="s">
        <v>734</v>
      </c>
      <c r="E923" s="63">
        <v>240</v>
      </c>
      <c r="F923" s="69">
        <v>2550000</v>
      </c>
      <c r="G923" s="69">
        <v>-2550000</v>
      </c>
      <c r="H923" s="64">
        <f>SUM(F923:G923)</f>
        <v>0</v>
      </c>
    </row>
    <row r="924" spans="1:8" ht="31.5">
      <c r="A924" s="65" t="s">
        <v>167</v>
      </c>
      <c r="B924" s="61" t="s">
        <v>686</v>
      </c>
      <c r="C924" s="62" t="s">
        <v>732</v>
      </c>
      <c r="D924" s="63" t="s">
        <v>734</v>
      </c>
      <c r="E924" s="63">
        <v>600</v>
      </c>
      <c r="F924" s="69">
        <f>F925</f>
        <v>0</v>
      </c>
      <c r="G924" s="69">
        <f>G925</f>
        <v>2550000</v>
      </c>
      <c r="H924" s="64">
        <f>SUM(F924:G924)</f>
        <v>2550000</v>
      </c>
    </row>
    <row r="925" spans="1:8" ht="15.75">
      <c r="A925" s="65" t="s">
        <v>168</v>
      </c>
      <c r="B925" s="61" t="s">
        <v>686</v>
      </c>
      <c r="C925" s="62" t="s">
        <v>732</v>
      </c>
      <c r="D925" s="63" t="s">
        <v>734</v>
      </c>
      <c r="E925" s="63">
        <v>610</v>
      </c>
      <c r="F925" s="69">
        <v>0</v>
      </c>
      <c r="G925" s="69">
        <v>2550000</v>
      </c>
      <c r="H925" s="64">
        <f>SUM(F925:G925)</f>
        <v>2550000</v>
      </c>
    </row>
    <row r="926" spans="1:8" ht="36" customHeight="1">
      <c r="A926" s="83" t="s">
        <v>735</v>
      </c>
      <c r="B926" s="61" t="s">
        <v>686</v>
      </c>
      <c r="C926" s="62" t="s">
        <v>732</v>
      </c>
      <c r="D926" s="63" t="s">
        <v>736</v>
      </c>
      <c r="E926" s="63"/>
      <c r="F926" s="66">
        <f>SUM(F927,F930)</f>
        <v>10512483</v>
      </c>
      <c r="G926" s="66">
        <f>SUM(G927,G930)</f>
        <v>0</v>
      </c>
      <c r="H926" s="64">
        <f>SUM(F926:G926)</f>
        <v>10512483</v>
      </c>
    </row>
    <row r="927" spans="1:8" ht="36" customHeight="1">
      <c r="A927" s="83" t="s">
        <v>737</v>
      </c>
      <c r="B927" s="61" t="s">
        <v>686</v>
      </c>
      <c r="C927" s="62" t="s">
        <v>732</v>
      </c>
      <c r="D927" s="63" t="s">
        <v>738</v>
      </c>
      <c r="E927" s="63"/>
      <c r="F927" s="69">
        <f>F928</f>
        <v>10462483</v>
      </c>
      <c r="G927" s="69">
        <f>G928</f>
        <v>0</v>
      </c>
      <c r="H927" s="64">
        <f>SUM(F927:G927)</f>
        <v>10462483</v>
      </c>
    </row>
    <row r="928" spans="1:8" ht="31.5">
      <c r="A928" s="65" t="s">
        <v>167</v>
      </c>
      <c r="B928" s="61" t="s">
        <v>686</v>
      </c>
      <c r="C928" s="62" t="s">
        <v>732</v>
      </c>
      <c r="D928" s="63" t="s">
        <v>738</v>
      </c>
      <c r="E928" s="63">
        <v>600</v>
      </c>
      <c r="F928" s="69">
        <f>F929</f>
        <v>10462483</v>
      </c>
      <c r="G928" s="69">
        <f>G929</f>
        <v>0</v>
      </c>
      <c r="H928" s="64">
        <f>SUM(F928:G928)</f>
        <v>10462483</v>
      </c>
    </row>
    <row r="929" spans="1:8" ht="15.75">
      <c r="A929" s="65" t="s">
        <v>168</v>
      </c>
      <c r="B929" s="61" t="s">
        <v>686</v>
      </c>
      <c r="C929" s="62" t="s">
        <v>732</v>
      </c>
      <c r="D929" s="63" t="s">
        <v>738</v>
      </c>
      <c r="E929" s="63">
        <v>610</v>
      </c>
      <c r="F929" s="69">
        <v>10462483</v>
      </c>
      <c r="G929" s="69">
        <v>0</v>
      </c>
      <c r="H929" s="64">
        <f>SUM(F929:G929)</f>
        <v>10462483</v>
      </c>
    </row>
    <row r="930" spans="1:8" ht="31.5">
      <c r="A930" s="83" t="s">
        <v>739</v>
      </c>
      <c r="B930" s="61" t="s">
        <v>686</v>
      </c>
      <c r="C930" s="62" t="s">
        <v>732</v>
      </c>
      <c r="D930" s="63" t="s">
        <v>740</v>
      </c>
      <c r="E930" s="63"/>
      <c r="F930" s="69">
        <f>F931</f>
        <v>50000</v>
      </c>
      <c r="G930" s="69">
        <f>G931</f>
        <v>0</v>
      </c>
      <c r="H930" s="64">
        <f>SUM(F930:G930)</f>
        <v>50000</v>
      </c>
    </row>
    <row r="931" spans="1:8" ht="31.5">
      <c r="A931" s="65" t="s">
        <v>167</v>
      </c>
      <c r="B931" s="61" t="s">
        <v>686</v>
      </c>
      <c r="C931" s="62" t="s">
        <v>732</v>
      </c>
      <c r="D931" s="63" t="s">
        <v>740</v>
      </c>
      <c r="E931" s="63">
        <v>600</v>
      </c>
      <c r="F931" s="69">
        <f>F932</f>
        <v>50000</v>
      </c>
      <c r="G931" s="69">
        <f>G932</f>
        <v>0</v>
      </c>
      <c r="H931" s="64">
        <f>SUM(F931:G931)</f>
        <v>50000</v>
      </c>
    </row>
    <row r="932" spans="1:8" ht="15.75">
      <c r="A932" s="65" t="s">
        <v>168</v>
      </c>
      <c r="B932" s="61" t="s">
        <v>686</v>
      </c>
      <c r="C932" s="62" t="s">
        <v>732</v>
      </c>
      <c r="D932" s="63" t="s">
        <v>740</v>
      </c>
      <c r="E932" s="63">
        <v>610</v>
      </c>
      <c r="F932" s="69">
        <v>50000</v>
      </c>
      <c r="G932" s="69">
        <v>0</v>
      </c>
      <c r="H932" s="64">
        <f>SUM(F932:G932)</f>
        <v>50000</v>
      </c>
    </row>
    <row r="933" spans="1:8" ht="31.5">
      <c r="A933" s="83" t="s">
        <v>741</v>
      </c>
      <c r="B933" s="61" t="s">
        <v>686</v>
      </c>
      <c r="C933" s="62" t="s">
        <v>732</v>
      </c>
      <c r="D933" s="63" t="s">
        <v>742</v>
      </c>
      <c r="E933" s="63"/>
      <c r="F933" s="66">
        <f>SUM(F934,F941,F950,F953)</f>
        <v>62517170</v>
      </c>
      <c r="G933" s="66">
        <f>SUM(G934,G941,G950,G953)</f>
        <v>300000</v>
      </c>
      <c r="H933" s="64">
        <f>SUM(F933:G933)</f>
        <v>62817170</v>
      </c>
    </row>
    <row r="934" spans="1:8" ht="31.5">
      <c r="A934" s="83" t="s">
        <v>743</v>
      </c>
      <c r="B934" s="61" t="s">
        <v>686</v>
      </c>
      <c r="C934" s="62" t="s">
        <v>732</v>
      </c>
      <c r="D934" s="63" t="s">
        <v>744</v>
      </c>
      <c r="E934" s="63"/>
      <c r="F934" s="69">
        <f>SUM(F935,F937,F939)</f>
        <v>11550000</v>
      </c>
      <c r="G934" s="69">
        <f>SUM(G935,G937,G939)</f>
        <v>0</v>
      </c>
      <c r="H934" s="64">
        <f>SUM(F934:G934)</f>
        <v>11550000</v>
      </c>
    </row>
    <row r="935" spans="1:8" ht="78.75">
      <c r="A935" s="67" t="s">
        <v>115</v>
      </c>
      <c r="B935" s="61" t="s">
        <v>686</v>
      </c>
      <c r="C935" s="62" t="s">
        <v>732</v>
      </c>
      <c r="D935" s="63" t="s">
        <v>744</v>
      </c>
      <c r="E935" s="62" t="s">
        <v>116</v>
      </c>
      <c r="F935" s="69">
        <f>F936</f>
        <v>11110000</v>
      </c>
      <c r="G935" s="69">
        <f>G936</f>
        <v>0</v>
      </c>
      <c r="H935" s="64">
        <f>SUM(F935:G935)</f>
        <v>11110000</v>
      </c>
    </row>
    <row r="936" spans="1:8" ht="31.5">
      <c r="A936" s="67" t="s">
        <v>117</v>
      </c>
      <c r="B936" s="61" t="s">
        <v>686</v>
      </c>
      <c r="C936" s="62" t="s">
        <v>732</v>
      </c>
      <c r="D936" s="63" t="s">
        <v>744</v>
      </c>
      <c r="E936" s="62" t="s">
        <v>118</v>
      </c>
      <c r="F936" s="69">
        <v>11110000</v>
      </c>
      <c r="G936" s="69">
        <v>0</v>
      </c>
      <c r="H936" s="64">
        <f>SUM(F936:G936)</f>
        <v>11110000</v>
      </c>
    </row>
    <row r="937" spans="1:8" ht="31.5">
      <c r="A937" s="68" t="s">
        <v>121</v>
      </c>
      <c r="B937" s="61" t="s">
        <v>686</v>
      </c>
      <c r="C937" s="62" t="s">
        <v>732</v>
      </c>
      <c r="D937" s="63" t="s">
        <v>744</v>
      </c>
      <c r="E937" s="62" t="s">
        <v>122</v>
      </c>
      <c r="F937" s="69">
        <f>F938</f>
        <v>430000</v>
      </c>
      <c r="G937" s="69">
        <f>G938</f>
        <v>0</v>
      </c>
      <c r="H937" s="64">
        <f>SUM(F937:G937)</f>
        <v>430000</v>
      </c>
    </row>
    <row r="938" spans="1:8" ht="31.5">
      <c r="A938" s="68" t="s">
        <v>123</v>
      </c>
      <c r="B938" s="61" t="s">
        <v>686</v>
      </c>
      <c r="C938" s="62" t="s">
        <v>732</v>
      </c>
      <c r="D938" s="63" t="s">
        <v>744</v>
      </c>
      <c r="E938" s="62" t="s">
        <v>124</v>
      </c>
      <c r="F938" s="69">
        <v>430000</v>
      </c>
      <c r="G938" s="69">
        <v>0</v>
      </c>
      <c r="H938" s="64">
        <f>SUM(F938:G938)</f>
        <v>430000</v>
      </c>
    </row>
    <row r="939" spans="1:8" ht="15.75">
      <c r="A939" s="68" t="s">
        <v>129</v>
      </c>
      <c r="B939" s="61" t="s">
        <v>686</v>
      </c>
      <c r="C939" s="62" t="s">
        <v>732</v>
      </c>
      <c r="D939" s="63" t="s">
        <v>744</v>
      </c>
      <c r="E939" s="62" t="s">
        <v>130</v>
      </c>
      <c r="F939" s="69">
        <f>F940</f>
        <v>10000</v>
      </c>
      <c r="G939" s="69">
        <f>G940</f>
        <v>0</v>
      </c>
      <c r="H939" s="64">
        <f>SUM(F939:G939)</f>
        <v>10000</v>
      </c>
    </row>
    <row r="940" spans="1:8" ht="15.75">
      <c r="A940" s="68" t="s">
        <v>131</v>
      </c>
      <c r="B940" s="61" t="s">
        <v>686</v>
      </c>
      <c r="C940" s="62" t="s">
        <v>732</v>
      </c>
      <c r="D940" s="63" t="s">
        <v>744</v>
      </c>
      <c r="E940" s="62" t="s">
        <v>132</v>
      </c>
      <c r="F940" s="69">
        <v>10000</v>
      </c>
      <c r="G940" s="69">
        <v>0</v>
      </c>
      <c r="H940" s="64">
        <f>SUM(F940:G940)</f>
        <v>10000</v>
      </c>
    </row>
    <row r="941" spans="1:8" ht="31.5">
      <c r="A941" s="83" t="s">
        <v>745</v>
      </c>
      <c r="B941" s="61" t="s">
        <v>686</v>
      </c>
      <c r="C941" s="62" t="s">
        <v>732</v>
      </c>
      <c r="D941" s="63" t="s">
        <v>746</v>
      </c>
      <c r="E941" s="63"/>
      <c r="F941" s="69">
        <f>SUM(F942,F944,F948,F946)</f>
        <v>50167170</v>
      </c>
      <c r="G941" s="69">
        <f>SUM(G942,G944,G948,G946)</f>
        <v>0</v>
      </c>
      <c r="H941" s="64">
        <f>SUM(F941:G941)</f>
        <v>50167170</v>
      </c>
    </row>
    <row r="942" spans="1:8" ht="69" customHeight="1">
      <c r="A942" s="67" t="s">
        <v>115</v>
      </c>
      <c r="B942" s="61" t="s">
        <v>686</v>
      </c>
      <c r="C942" s="62" t="s">
        <v>732</v>
      </c>
      <c r="D942" s="63" t="s">
        <v>746</v>
      </c>
      <c r="E942" s="63">
        <v>100</v>
      </c>
      <c r="F942" s="69">
        <f>F943</f>
        <v>45164170</v>
      </c>
      <c r="G942" s="69">
        <f>G943</f>
        <v>0</v>
      </c>
      <c r="H942" s="64">
        <f>SUM(F942:G942)</f>
        <v>45164170</v>
      </c>
    </row>
    <row r="943" spans="1:8" ht="15.75">
      <c r="A943" s="67" t="s">
        <v>160</v>
      </c>
      <c r="B943" s="61" t="s">
        <v>686</v>
      </c>
      <c r="C943" s="62" t="s">
        <v>732</v>
      </c>
      <c r="D943" s="63" t="s">
        <v>746</v>
      </c>
      <c r="E943" s="63">
        <v>110</v>
      </c>
      <c r="F943" s="69">
        <v>45164170</v>
      </c>
      <c r="G943" s="69">
        <v>0</v>
      </c>
      <c r="H943" s="64">
        <f>SUM(F943:G943)</f>
        <v>45164170</v>
      </c>
    </row>
    <row r="944" spans="1:8" ht="31.5">
      <c r="A944" s="68" t="s">
        <v>121</v>
      </c>
      <c r="B944" s="61" t="s">
        <v>686</v>
      </c>
      <c r="C944" s="62" t="s">
        <v>732</v>
      </c>
      <c r="D944" s="63" t="s">
        <v>746</v>
      </c>
      <c r="E944" s="63">
        <v>200</v>
      </c>
      <c r="F944" s="69">
        <f>F945</f>
        <v>4978000</v>
      </c>
      <c r="G944" s="69">
        <f>G945</f>
        <v>0</v>
      </c>
      <c r="H944" s="64">
        <f>SUM(F944:G944)</f>
        <v>4978000</v>
      </c>
    </row>
    <row r="945" spans="1:8" ht="31.5">
      <c r="A945" s="68" t="s">
        <v>123</v>
      </c>
      <c r="B945" s="61" t="s">
        <v>686</v>
      </c>
      <c r="C945" s="62" t="s">
        <v>732</v>
      </c>
      <c r="D945" s="63" t="s">
        <v>746</v>
      </c>
      <c r="E945" s="63">
        <v>240</v>
      </c>
      <c r="F945" s="69">
        <v>4978000</v>
      </c>
      <c r="G945" s="69">
        <v>0</v>
      </c>
      <c r="H945" s="64">
        <f>SUM(F945:G945)</f>
        <v>4978000</v>
      </c>
    </row>
    <row r="946" spans="1:8" ht="15.75">
      <c r="A946" s="65" t="s">
        <v>597</v>
      </c>
      <c r="B946" s="61" t="s">
        <v>686</v>
      </c>
      <c r="C946" s="62" t="s">
        <v>732</v>
      </c>
      <c r="D946" s="63" t="s">
        <v>746</v>
      </c>
      <c r="E946" s="63">
        <v>300</v>
      </c>
      <c r="F946" s="69">
        <f>F947</f>
        <v>0</v>
      </c>
      <c r="G946" s="69">
        <f>G947</f>
        <v>10000</v>
      </c>
      <c r="H946" s="64">
        <f>SUM(F946:G946)</f>
        <v>10000</v>
      </c>
    </row>
    <row r="947" spans="1:8" ht="31.5">
      <c r="A947" s="65" t="s">
        <v>598</v>
      </c>
      <c r="B947" s="61" t="s">
        <v>686</v>
      </c>
      <c r="C947" s="62" t="s">
        <v>732</v>
      </c>
      <c r="D947" s="63" t="s">
        <v>746</v>
      </c>
      <c r="E947" s="63">
        <v>320</v>
      </c>
      <c r="F947" s="69">
        <v>0</v>
      </c>
      <c r="G947" s="69">
        <v>10000</v>
      </c>
      <c r="H947" s="64">
        <f>SUM(F947:G947)</f>
        <v>10000</v>
      </c>
    </row>
    <row r="948" spans="1:8" ht="15.75">
      <c r="A948" s="68" t="s">
        <v>129</v>
      </c>
      <c r="B948" s="61" t="s">
        <v>686</v>
      </c>
      <c r="C948" s="62" t="s">
        <v>732</v>
      </c>
      <c r="D948" s="63" t="s">
        <v>746</v>
      </c>
      <c r="E948" s="63">
        <v>800</v>
      </c>
      <c r="F948" s="69">
        <f>F949</f>
        <v>25000</v>
      </c>
      <c r="G948" s="69">
        <f>G949</f>
        <v>-10000</v>
      </c>
      <c r="H948" s="64">
        <f>SUM(F948:G948)</f>
        <v>15000</v>
      </c>
    </row>
    <row r="949" spans="1:8" ht="15.75">
      <c r="A949" s="68" t="s">
        <v>131</v>
      </c>
      <c r="B949" s="61" t="s">
        <v>686</v>
      </c>
      <c r="C949" s="62" t="s">
        <v>732</v>
      </c>
      <c r="D949" s="63" t="s">
        <v>746</v>
      </c>
      <c r="E949" s="63">
        <v>850</v>
      </c>
      <c r="F949" s="125">
        <v>25000</v>
      </c>
      <c r="G949" s="125">
        <v>-10000</v>
      </c>
      <c r="H949" s="64">
        <f>SUM(F949:G949)</f>
        <v>15000</v>
      </c>
    </row>
    <row r="950" spans="1:8" ht="31.5">
      <c r="A950" s="83" t="s">
        <v>747</v>
      </c>
      <c r="B950" s="61" t="s">
        <v>686</v>
      </c>
      <c r="C950" s="62" t="s">
        <v>732</v>
      </c>
      <c r="D950" s="63" t="s">
        <v>748</v>
      </c>
      <c r="E950" s="63"/>
      <c r="F950" s="69">
        <f>F951</f>
        <v>500000</v>
      </c>
      <c r="G950" s="69">
        <f>G951</f>
        <v>300000</v>
      </c>
      <c r="H950" s="64">
        <f>SUM(F950:G950)</f>
        <v>800000</v>
      </c>
    </row>
    <row r="951" spans="1:8" ht="15.75">
      <c r="A951" s="65" t="s">
        <v>597</v>
      </c>
      <c r="B951" s="61" t="s">
        <v>686</v>
      </c>
      <c r="C951" s="62" t="s">
        <v>732</v>
      </c>
      <c r="D951" s="63" t="s">
        <v>748</v>
      </c>
      <c r="E951" s="63">
        <v>300</v>
      </c>
      <c r="F951" s="66">
        <f>F952</f>
        <v>500000</v>
      </c>
      <c r="G951" s="66">
        <f>G952</f>
        <v>300000</v>
      </c>
      <c r="H951" s="64">
        <f>SUM(F951:G951)</f>
        <v>800000</v>
      </c>
    </row>
    <row r="952" spans="1:8" ht="31.5">
      <c r="A952" s="65" t="s">
        <v>749</v>
      </c>
      <c r="B952" s="61" t="s">
        <v>686</v>
      </c>
      <c r="C952" s="62" t="s">
        <v>732</v>
      </c>
      <c r="D952" s="63" t="s">
        <v>748</v>
      </c>
      <c r="E952" s="63">
        <v>330</v>
      </c>
      <c r="F952" s="69">
        <v>500000</v>
      </c>
      <c r="G952" s="69">
        <v>300000</v>
      </c>
      <c r="H952" s="64">
        <f>SUM(F952:G952)</f>
        <v>800000</v>
      </c>
    </row>
    <row r="953" spans="1:8" ht="15.75">
      <c r="A953" s="65" t="s">
        <v>750</v>
      </c>
      <c r="B953" s="61" t="s">
        <v>686</v>
      </c>
      <c r="C953" s="62" t="s">
        <v>732</v>
      </c>
      <c r="D953" s="63" t="s">
        <v>751</v>
      </c>
      <c r="E953" s="63"/>
      <c r="F953" s="69">
        <f>F954</f>
        <v>300000</v>
      </c>
      <c r="G953" s="69">
        <f>G954</f>
        <v>0</v>
      </c>
      <c r="H953" s="64">
        <f>SUM(F953:G953)</f>
        <v>300000</v>
      </c>
    </row>
    <row r="954" spans="1:8" ht="31.5">
      <c r="A954" s="65" t="s">
        <v>167</v>
      </c>
      <c r="B954" s="61" t="s">
        <v>686</v>
      </c>
      <c r="C954" s="62" t="s">
        <v>732</v>
      </c>
      <c r="D954" s="63" t="s">
        <v>751</v>
      </c>
      <c r="E954" s="63">
        <v>600</v>
      </c>
      <c r="F954" s="69">
        <f>F955</f>
        <v>300000</v>
      </c>
      <c r="G954" s="69">
        <f>G955</f>
        <v>0</v>
      </c>
      <c r="H954" s="64">
        <f>SUM(F954:G954)</f>
        <v>300000</v>
      </c>
    </row>
    <row r="955" spans="1:8" ht="15.75">
      <c r="A955" s="65" t="s">
        <v>168</v>
      </c>
      <c r="B955" s="61" t="s">
        <v>686</v>
      </c>
      <c r="C955" s="62" t="s">
        <v>732</v>
      </c>
      <c r="D955" s="63" t="s">
        <v>751</v>
      </c>
      <c r="E955" s="63">
        <v>610</v>
      </c>
      <c r="F955" s="69">
        <v>300000</v>
      </c>
      <c r="G955" s="69">
        <v>0</v>
      </c>
      <c r="H955" s="64">
        <f>SUM(F955:G955)</f>
        <v>300000</v>
      </c>
    </row>
    <row r="956" spans="1:8" ht="15.75">
      <c r="A956" s="52" t="s">
        <v>436</v>
      </c>
      <c r="B956" s="87" t="s">
        <v>686</v>
      </c>
      <c r="C956" s="53" t="s">
        <v>437</v>
      </c>
      <c r="D956" s="63"/>
      <c r="E956" s="63"/>
      <c r="F956" s="88">
        <f>F957</f>
        <v>11751281</v>
      </c>
      <c r="G956" s="88">
        <f>G957</f>
        <v>0</v>
      </c>
      <c r="H956" s="54">
        <f>SUM(F956:G956)</f>
        <v>11751281</v>
      </c>
    </row>
    <row r="957" spans="1:8" ht="15.75">
      <c r="A957" s="122" t="s">
        <v>644</v>
      </c>
      <c r="B957" s="56" t="s">
        <v>686</v>
      </c>
      <c r="C957" s="57" t="s">
        <v>645</v>
      </c>
      <c r="D957" s="63"/>
      <c r="E957" s="63"/>
      <c r="F957" s="72">
        <f>F958</f>
        <v>11751281</v>
      </c>
      <c r="G957" s="72">
        <f>G958</f>
        <v>0</v>
      </c>
      <c r="H957" s="58">
        <f>SUM(F957:G957)</f>
        <v>11751281</v>
      </c>
    </row>
    <row r="958" spans="1:8" ht="31.5">
      <c r="A958" s="65" t="s">
        <v>752</v>
      </c>
      <c r="B958" s="61" t="s">
        <v>686</v>
      </c>
      <c r="C958" s="62" t="s">
        <v>645</v>
      </c>
      <c r="D958" s="63" t="s">
        <v>429</v>
      </c>
      <c r="E958" s="63"/>
      <c r="F958" s="66">
        <f>F959</f>
        <v>11751281</v>
      </c>
      <c r="G958" s="66">
        <f>G959</f>
        <v>0</v>
      </c>
      <c r="H958" s="64">
        <f>SUM(F958:G958)</f>
        <v>11751281</v>
      </c>
    </row>
    <row r="959" spans="1:8" ht="31.5">
      <c r="A959" s="83" t="s">
        <v>741</v>
      </c>
      <c r="B959" s="61" t="s">
        <v>686</v>
      </c>
      <c r="C959" s="62" t="s">
        <v>645</v>
      </c>
      <c r="D959" s="63" t="s">
        <v>742</v>
      </c>
      <c r="E959" s="63"/>
      <c r="F959" s="66">
        <f>F960</f>
        <v>11751281</v>
      </c>
      <c r="G959" s="66">
        <f>G960</f>
        <v>0</v>
      </c>
      <c r="H959" s="64">
        <f>SUM(F959:G959)</f>
        <v>11751281</v>
      </c>
    </row>
    <row r="960" spans="1:8" ht="15.75">
      <c r="A960" s="83" t="s">
        <v>753</v>
      </c>
      <c r="B960" s="61" t="s">
        <v>686</v>
      </c>
      <c r="C960" s="62" t="s">
        <v>645</v>
      </c>
      <c r="D960" s="63" t="s">
        <v>754</v>
      </c>
      <c r="E960" s="63"/>
      <c r="F960" s="66">
        <f>SUM(F961,F963)</f>
        <v>11751281</v>
      </c>
      <c r="G960" s="66">
        <f>SUM(G961,G963)</f>
        <v>0</v>
      </c>
      <c r="H960" s="64">
        <f>SUM(F960:G960)</f>
        <v>11751281</v>
      </c>
    </row>
    <row r="961" spans="1:8" ht="31.5">
      <c r="A961" s="68" t="s">
        <v>121</v>
      </c>
      <c r="B961" s="61" t="s">
        <v>686</v>
      </c>
      <c r="C961" s="62" t="s">
        <v>645</v>
      </c>
      <c r="D961" s="63" t="s">
        <v>754</v>
      </c>
      <c r="E961" s="62" t="s">
        <v>122</v>
      </c>
      <c r="F961" s="69">
        <f>F962</f>
        <v>109872</v>
      </c>
      <c r="G961" s="69">
        <f>G962</f>
        <v>0</v>
      </c>
      <c r="H961" s="64">
        <f>SUM(F961:G961)</f>
        <v>109872</v>
      </c>
    </row>
    <row r="962" spans="1:8" ht="31.5">
      <c r="A962" s="68" t="s">
        <v>123</v>
      </c>
      <c r="B962" s="61" t="s">
        <v>686</v>
      </c>
      <c r="C962" s="62" t="s">
        <v>645</v>
      </c>
      <c r="D962" s="63" t="s">
        <v>754</v>
      </c>
      <c r="E962" s="62" t="s">
        <v>124</v>
      </c>
      <c r="F962" s="69">
        <v>109872</v>
      </c>
      <c r="G962" s="69">
        <v>0</v>
      </c>
      <c r="H962" s="64">
        <f>SUM(F962:G962)</f>
        <v>109872</v>
      </c>
    </row>
    <row r="963" spans="1:8" ht="15.75">
      <c r="A963" s="65" t="s">
        <v>597</v>
      </c>
      <c r="B963" s="61" t="s">
        <v>686</v>
      </c>
      <c r="C963" s="62" t="s">
        <v>645</v>
      </c>
      <c r="D963" s="63" t="s">
        <v>754</v>
      </c>
      <c r="E963" s="63">
        <v>300</v>
      </c>
      <c r="F963" s="66">
        <f>F964</f>
        <v>11641409</v>
      </c>
      <c r="G963" s="66">
        <f>G964</f>
        <v>0</v>
      </c>
      <c r="H963" s="64">
        <f>SUM(F963:G963)</f>
        <v>11641409</v>
      </c>
    </row>
    <row r="964" spans="1:8" ht="31.5">
      <c r="A964" s="65" t="s">
        <v>598</v>
      </c>
      <c r="B964" s="61" t="s">
        <v>686</v>
      </c>
      <c r="C964" s="62" t="s">
        <v>645</v>
      </c>
      <c r="D964" s="63" t="s">
        <v>754</v>
      </c>
      <c r="E964" s="63">
        <v>320</v>
      </c>
      <c r="F964" s="69">
        <v>11641409</v>
      </c>
      <c r="G964" s="69">
        <v>0</v>
      </c>
      <c r="H964" s="64">
        <f>SUM(F964:G964)</f>
        <v>11641409</v>
      </c>
    </row>
    <row r="965" spans="1:8" ht="33">
      <c r="A965" s="46" t="s">
        <v>755</v>
      </c>
      <c r="B965" s="47" t="s">
        <v>756</v>
      </c>
      <c r="C965" s="114"/>
      <c r="D965" s="63"/>
      <c r="E965" s="63"/>
      <c r="F965" s="113">
        <f>F966</f>
        <v>13559000</v>
      </c>
      <c r="G965" s="113">
        <f>G966</f>
        <v>0</v>
      </c>
      <c r="H965" s="54">
        <f>SUM(F965:G965)</f>
        <v>13559000</v>
      </c>
    </row>
    <row r="966" spans="1:8" ht="15.75">
      <c r="A966" s="52" t="s">
        <v>757</v>
      </c>
      <c r="B966" s="87" t="s">
        <v>756</v>
      </c>
      <c r="C966" s="53" t="s">
        <v>106</v>
      </c>
      <c r="D966" s="63"/>
      <c r="E966" s="63"/>
      <c r="F966" s="88">
        <f>F967</f>
        <v>13559000</v>
      </c>
      <c r="G966" s="88">
        <f>G967</f>
        <v>0</v>
      </c>
      <c r="H966" s="54">
        <f>SUM(F966:G966)</f>
        <v>13559000</v>
      </c>
    </row>
    <row r="967" spans="1:8" ht="47.25">
      <c r="A967" s="55" t="s">
        <v>500</v>
      </c>
      <c r="B967" s="56" t="s">
        <v>756</v>
      </c>
      <c r="C967" s="57" t="s">
        <v>501</v>
      </c>
      <c r="D967" s="63"/>
      <c r="E967" s="63"/>
      <c r="F967" s="72">
        <f>F968</f>
        <v>13559000</v>
      </c>
      <c r="G967" s="72">
        <f>G968</f>
        <v>0</v>
      </c>
      <c r="H967" s="58">
        <f>SUM(F967:G967)</f>
        <v>13559000</v>
      </c>
    </row>
    <row r="968" spans="1:8" ht="15.75">
      <c r="A968" s="60" t="s">
        <v>109</v>
      </c>
      <c r="B968" s="61" t="s">
        <v>756</v>
      </c>
      <c r="C968" s="62" t="s">
        <v>501</v>
      </c>
      <c r="D968" s="63" t="s">
        <v>110</v>
      </c>
      <c r="E968" s="63"/>
      <c r="F968" s="66">
        <f>F969</f>
        <v>13559000</v>
      </c>
      <c r="G968" s="66">
        <f>G969</f>
        <v>0</v>
      </c>
      <c r="H968" s="64">
        <f>SUM(F968:G968)</f>
        <v>13559000</v>
      </c>
    </row>
    <row r="969" spans="1:8" ht="31.5">
      <c r="A969" s="65" t="s">
        <v>111</v>
      </c>
      <c r="B969" s="61" t="s">
        <v>756</v>
      </c>
      <c r="C969" s="62" t="s">
        <v>501</v>
      </c>
      <c r="D969" s="63" t="s">
        <v>112</v>
      </c>
      <c r="E969" s="63"/>
      <c r="F969" s="66">
        <f>F970</f>
        <v>13559000</v>
      </c>
      <c r="G969" s="66">
        <f>G970</f>
        <v>0</v>
      </c>
      <c r="H969" s="64">
        <f>SUM(F969:G969)</f>
        <v>13559000</v>
      </c>
    </row>
    <row r="970" spans="1:8" ht="31.5">
      <c r="A970" s="65" t="s">
        <v>758</v>
      </c>
      <c r="B970" s="61" t="s">
        <v>756</v>
      </c>
      <c r="C970" s="62" t="s">
        <v>501</v>
      </c>
      <c r="D970" s="63" t="s">
        <v>759</v>
      </c>
      <c r="E970" s="63"/>
      <c r="F970" s="66">
        <f>SUM(F971,F973,F975)</f>
        <v>13559000</v>
      </c>
      <c r="G970" s="66">
        <f>SUM(G971,G973,G975)</f>
        <v>0</v>
      </c>
      <c r="H970" s="64">
        <f>SUM(F970:G970)</f>
        <v>13559000</v>
      </c>
    </row>
    <row r="971" spans="1:8" ht="78.75">
      <c r="A971" s="67" t="s">
        <v>115</v>
      </c>
      <c r="B971" s="61" t="s">
        <v>756</v>
      </c>
      <c r="C971" s="62" t="s">
        <v>501</v>
      </c>
      <c r="D971" s="63" t="s">
        <v>759</v>
      </c>
      <c r="E971" s="62" t="s">
        <v>116</v>
      </c>
      <c r="F971" s="69">
        <f>F972</f>
        <v>10838000</v>
      </c>
      <c r="G971" s="69">
        <f>G972</f>
        <v>0</v>
      </c>
      <c r="H971" s="64">
        <f>SUM(F971:G971)</f>
        <v>10838000</v>
      </c>
    </row>
    <row r="972" spans="1:8" ht="31.5">
      <c r="A972" s="67" t="s">
        <v>117</v>
      </c>
      <c r="B972" s="61" t="s">
        <v>756</v>
      </c>
      <c r="C972" s="62" t="s">
        <v>501</v>
      </c>
      <c r="D972" s="63" t="s">
        <v>759</v>
      </c>
      <c r="E972" s="62" t="s">
        <v>118</v>
      </c>
      <c r="F972" s="69">
        <v>10838000</v>
      </c>
      <c r="G972" s="69">
        <v>0</v>
      </c>
      <c r="H972" s="64">
        <f>SUM(F972:G972)</f>
        <v>10838000</v>
      </c>
    </row>
    <row r="973" spans="1:8" ht="31.5">
      <c r="A973" s="68" t="s">
        <v>121</v>
      </c>
      <c r="B973" s="61" t="s">
        <v>756</v>
      </c>
      <c r="C973" s="62" t="s">
        <v>501</v>
      </c>
      <c r="D973" s="63" t="s">
        <v>759</v>
      </c>
      <c r="E973" s="62" t="s">
        <v>122</v>
      </c>
      <c r="F973" s="69">
        <f>F974</f>
        <v>2671000</v>
      </c>
      <c r="G973" s="69">
        <f>G974</f>
        <v>0</v>
      </c>
      <c r="H973" s="64">
        <f>SUM(F973:G973)</f>
        <v>2671000</v>
      </c>
    </row>
    <row r="974" spans="1:8" ht="31.5">
      <c r="A974" s="68" t="s">
        <v>123</v>
      </c>
      <c r="B974" s="61" t="s">
        <v>756</v>
      </c>
      <c r="C974" s="62" t="s">
        <v>501</v>
      </c>
      <c r="D974" s="63" t="s">
        <v>759</v>
      </c>
      <c r="E974" s="62" t="s">
        <v>124</v>
      </c>
      <c r="F974" s="69">
        <v>2671000</v>
      </c>
      <c r="G974" s="69">
        <v>0</v>
      </c>
      <c r="H974" s="64">
        <f>SUM(F974:G974)</f>
        <v>2671000</v>
      </c>
    </row>
    <row r="975" spans="1:8" ht="15.75">
      <c r="A975" s="68" t="s">
        <v>129</v>
      </c>
      <c r="B975" s="61" t="s">
        <v>756</v>
      </c>
      <c r="C975" s="62" t="s">
        <v>501</v>
      </c>
      <c r="D975" s="63" t="s">
        <v>759</v>
      </c>
      <c r="E975" s="62" t="s">
        <v>130</v>
      </c>
      <c r="F975" s="69">
        <f>F976</f>
        <v>50000</v>
      </c>
      <c r="G975" s="69">
        <f>G976</f>
        <v>0</v>
      </c>
      <c r="H975" s="64">
        <f>SUM(F975:G975)</f>
        <v>50000</v>
      </c>
    </row>
    <row r="976" spans="1:8" ht="15.75">
      <c r="A976" s="68" t="s">
        <v>131</v>
      </c>
      <c r="B976" s="61" t="s">
        <v>756</v>
      </c>
      <c r="C976" s="62" t="s">
        <v>501</v>
      </c>
      <c r="D976" s="63" t="s">
        <v>759</v>
      </c>
      <c r="E976" s="62" t="s">
        <v>132</v>
      </c>
      <c r="F976" s="69">
        <v>50000</v>
      </c>
      <c r="G976" s="69">
        <v>0</v>
      </c>
      <c r="H976" s="64">
        <f>SUM(F976:G976)</f>
        <v>50000</v>
      </c>
    </row>
    <row r="977" spans="1:8" ht="33">
      <c r="A977" s="46" t="s">
        <v>760</v>
      </c>
      <c r="B977" s="47" t="s">
        <v>761</v>
      </c>
      <c r="C977" s="48"/>
      <c r="D977" s="118"/>
      <c r="E977" s="118"/>
      <c r="F977" s="113">
        <f>F978</f>
        <v>34587522</v>
      </c>
      <c r="G977" s="113">
        <f>G978</f>
        <v>0</v>
      </c>
      <c r="H977" s="54">
        <f>SUM(F977:G977)</f>
        <v>34587522</v>
      </c>
    </row>
    <row r="978" spans="1:8" ht="15.75">
      <c r="A978" s="52" t="s">
        <v>757</v>
      </c>
      <c r="B978" s="87" t="s">
        <v>761</v>
      </c>
      <c r="C978" s="53" t="s">
        <v>106</v>
      </c>
      <c r="D978" s="63"/>
      <c r="E978" s="63"/>
      <c r="F978" s="88">
        <f>F979</f>
        <v>34587522</v>
      </c>
      <c r="G978" s="88">
        <f>G979</f>
        <v>0</v>
      </c>
      <c r="H978" s="54">
        <f>SUM(F978:G978)</f>
        <v>34587522</v>
      </c>
    </row>
    <row r="979" spans="1:8" ht="47.25">
      <c r="A979" s="55" t="s">
        <v>762</v>
      </c>
      <c r="B979" s="56" t="s">
        <v>761</v>
      </c>
      <c r="C979" s="57" t="s">
        <v>763</v>
      </c>
      <c r="D979" s="63"/>
      <c r="E979" s="63"/>
      <c r="F979" s="72">
        <f>F980</f>
        <v>34587522</v>
      </c>
      <c r="G979" s="72">
        <f>G980</f>
        <v>0</v>
      </c>
      <c r="H979" s="58">
        <f>SUM(F979:G979)</f>
        <v>34587522</v>
      </c>
    </row>
    <row r="980" spans="1:8" ht="15.75">
      <c r="A980" s="60" t="s">
        <v>109</v>
      </c>
      <c r="B980" s="61" t="s">
        <v>761</v>
      </c>
      <c r="C980" s="62" t="s">
        <v>763</v>
      </c>
      <c r="D980" s="63" t="s">
        <v>110</v>
      </c>
      <c r="E980" s="63"/>
      <c r="F980" s="66">
        <f>F981</f>
        <v>34587522</v>
      </c>
      <c r="G980" s="66">
        <f>G981</f>
        <v>0</v>
      </c>
      <c r="H980" s="64">
        <f>SUM(F980:G980)</f>
        <v>34587522</v>
      </c>
    </row>
    <row r="981" spans="1:8" ht="31.5">
      <c r="A981" s="65" t="s">
        <v>111</v>
      </c>
      <c r="B981" s="61" t="s">
        <v>761</v>
      </c>
      <c r="C981" s="62" t="s">
        <v>763</v>
      </c>
      <c r="D981" s="63" t="s">
        <v>112</v>
      </c>
      <c r="E981" s="63"/>
      <c r="F981" s="66">
        <f>F982</f>
        <v>34587522</v>
      </c>
      <c r="G981" s="66">
        <f>G982</f>
        <v>0</v>
      </c>
      <c r="H981" s="64">
        <f>SUM(F981:G981)</f>
        <v>34587522</v>
      </c>
    </row>
    <row r="982" spans="1:8" ht="31.5">
      <c r="A982" s="65" t="s">
        <v>764</v>
      </c>
      <c r="B982" s="61" t="s">
        <v>761</v>
      </c>
      <c r="C982" s="62" t="s">
        <v>763</v>
      </c>
      <c r="D982" s="63" t="s">
        <v>765</v>
      </c>
      <c r="E982" s="63"/>
      <c r="F982" s="66">
        <f>SUM(F983,F985,F987)</f>
        <v>34587522</v>
      </c>
      <c r="G982" s="66">
        <f>SUM(G983,G985,G987)</f>
        <v>0</v>
      </c>
      <c r="H982" s="64">
        <f>SUM(F982:G982)</f>
        <v>34587522</v>
      </c>
    </row>
    <row r="983" spans="1:8" ht="78.75">
      <c r="A983" s="67" t="s">
        <v>115</v>
      </c>
      <c r="B983" s="61" t="s">
        <v>761</v>
      </c>
      <c r="C983" s="62" t="s">
        <v>763</v>
      </c>
      <c r="D983" s="63" t="s">
        <v>765</v>
      </c>
      <c r="E983" s="62" t="s">
        <v>116</v>
      </c>
      <c r="F983" s="66">
        <f>F984</f>
        <v>30642522</v>
      </c>
      <c r="G983" s="66">
        <f>G984</f>
        <v>0</v>
      </c>
      <c r="H983" s="64">
        <f>SUM(F983:G983)</f>
        <v>30642522</v>
      </c>
    </row>
    <row r="984" spans="1:8" ht="31.5">
      <c r="A984" s="67" t="s">
        <v>117</v>
      </c>
      <c r="B984" s="61" t="s">
        <v>761</v>
      </c>
      <c r="C984" s="62" t="s">
        <v>763</v>
      </c>
      <c r="D984" s="63" t="s">
        <v>765</v>
      </c>
      <c r="E984" s="62" t="s">
        <v>118</v>
      </c>
      <c r="F984" s="66">
        <v>30642522</v>
      </c>
      <c r="G984" s="66">
        <v>0</v>
      </c>
      <c r="H984" s="64">
        <f>SUM(F984:G984)</f>
        <v>30642522</v>
      </c>
    </row>
    <row r="985" spans="1:8" ht="31.5">
      <c r="A985" s="68" t="s">
        <v>121</v>
      </c>
      <c r="B985" s="61" t="s">
        <v>761</v>
      </c>
      <c r="C985" s="62" t="s">
        <v>763</v>
      </c>
      <c r="D985" s="63" t="s">
        <v>765</v>
      </c>
      <c r="E985" s="62" t="s">
        <v>122</v>
      </c>
      <c r="F985" s="66">
        <f>F986</f>
        <v>3935000</v>
      </c>
      <c r="G985" s="66">
        <f>G986</f>
        <v>-15000</v>
      </c>
      <c r="H985" s="64">
        <f>SUM(F985:G985)</f>
        <v>3920000</v>
      </c>
    </row>
    <row r="986" spans="1:8" ht="31.5">
      <c r="A986" s="68" t="s">
        <v>123</v>
      </c>
      <c r="B986" s="61" t="s">
        <v>761</v>
      </c>
      <c r="C986" s="62" t="s">
        <v>763</v>
      </c>
      <c r="D986" s="63" t="s">
        <v>765</v>
      </c>
      <c r="E986" s="62" t="s">
        <v>124</v>
      </c>
      <c r="F986" s="66">
        <v>3935000</v>
      </c>
      <c r="G986" s="66">
        <v>-15000</v>
      </c>
      <c r="H986" s="64">
        <f>SUM(F986:G986)</f>
        <v>3920000</v>
      </c>
    </row>
    <row r="987" spans="1:8" ht="15.75">
      <c r="A987" s="68" t="s">
        <v>129</v>
      </c>
      <c r="B987" s="61" t="s">
        <v>761</v>
      </c>
      <c r="C987" s="62" t="s">
        <v>763</v>
      </c>
      <c r="D987" s="63" t="s">
        <v>765</v>
      </c>
      <c r="E987" s="62" t="s">
        <v>130</v>
      </c>
      <c r="F987" s="66">
        <f>F988</f>
        <v>10000</v>
      </c>
      <c r="G987" s="66">
        <f>G988</f>
        <v>15000</v>
      </c>
      <c r="H987" s="64">
        <f>SUM(F987:G987)</f>
        <v>25000</v>
      </c>
    </row>
    <row r="988" spans="1:8" ht="15.75">
      <c r="A988" s="68" t="s">
        <v>131</v>
      </c>
      <c r="B988" s="61" t="s">
        <v>761</v>
      </c>
      <c r="C988" s="62" t="s">
        <v>763</v>
      </c>
      <c r="D988" s="63" t="s">
        <v>765</v>
      </c>
      <c r="E988" s="62" t="s">
        <v>132</v>
      </c>
      <c r="F988" s="66">
        <v>10000</v>
      </c>
      <c r="G988" s="66">
        <v>15000</v>
      </c>
      <c r="H988" s="64">
        <f>SUM(F988:G988)</f>
        <v>25000</v>
      </c>
    </row>
    <row r="989" spans="1:8" ht="16.5">
      <c r="A989" s="126" t="s">
        <v>766</v>
      </c>
      <c r="B989" s="127"/>
      <c r="C989" s="127"/>
      <c r="D989" s="128"/>
      <c r="E989" s="127"/>
      <c r="F989" s="49">
        <f>SUM(F7,F506,F527,F634,F843,F965,F977,F494)</f>
        <v>5838927258.99</v>
      </c>
      <c r="G989" s="49">
        <f>SUM(G7,G506,G527,G634,G843,G965,G977,G494)</f>
        <v>248796668.31</v>
      </c>
      <c r="H989" s="54">
        <f>SUM(F989:G989)</f>
        <v>6087723927.3</v>
      </c>
    </row>
    <row r="990" spans="1:8" ht="16.5">
      <c r="A990" s="126" t="s">
        <v>767</v>
      </c>
      <c r="B990" s="127"/>
      <c r="C990" s="127"/>
      <c r="D990" s="128"/>
      <c r="E990" s="127"/>
      <c r="F990" s="49">
        <f>F989-'Доходы 2021'!C42-'Доходы 2021'!C43-'Доходы 2021'!C44</f>
        <v>2423512152.7699995</v>
      </c>
      <c r="G990" s="49">
        <f>G989-'Доходы 2021'!D42-'Доходы 2021'!D43-'Доходы 2021'!D44-'Доходы 2021'!D41</f>
        <v>169838438.75</v>
      </c>
      <c r="H990" s="49">
        <f>H989-'Доходы 2021'!E42-'Доходы 2021'!E43-'Доходы 2021'!E44</f>
        <v>2597491099.52</v>
      </c>
    </row>
    <row r="991" spans="1:8" ht="16.5">
      <c r="A991" s="126" t="s">
        <v>768</v>
      </c>
      <c r="B991" s="127"/>
      <c r="C991" s="127"/>
      <c r="D991" s="128"/>
      <c r="E991" s="127"/>
      <c r="F991" s="49"/>
      <c r="G991" s="49"/>
      <c r="H991" s="49"/>
    </row>
    <row r="992" spans="1:8" ht="19.5">
      <c r="A992" s="129" t="s">
        <v>769</v>
      </c>
      <c r="B992" s="129"/>
      <c r="C992" s="129"/>
      <c r="D992" s="130"/>
      <c r="E992" s="130"/>
      <c r="F992" s="131">
        <f>'Доходы 2021'!C48-'Расходы 2021'!F989</f>
        <v>-214834152.7699995</v>
      </c>
      <c r="G992" s="131">
        <f>'Доходы 2021'!D48-'Расходы 2021'!G989</f>
        <v>0</v>
      </c>
      <c r="H992" s="131">
        <f>'Доходы 2021'!E48-'Расходы 2021'!H989</f>
        <v>-214834152.7699995</v>
      </c>
    </row>
    <row r="998" s="132" customFormat="1" ht="19.5">
      <c r="I998" s="133"/>
    </row>
  </sheetData>
  <sheetProtection selectLockedCells="1" selectUnlockedCells="1"/>
  <mergeCells count="3">
    <mergeCell ref="F1:H1"/>
    <mergeCell ref="F2:H2"/>
    <mergeCell ref="A4:H4"/>
  </mergeCells>
  <printOptions/>
  <pageMargins left="0.7201388888888889" right="0.2798611111111111" top="0.5798611111111112" bottom="0.3798611111111111" header="0.5118055555555555" footer="0.1597222222222222"/>
  <pageSetup firstPageNumber="58" useFirstPageNumber="1" fitToHeight="0" fitToWidth="1" horizontalDpi="300" verticalDpi="3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2021-05-26T08:19:02Z</dcterms:modified>
  <cp:category/>
  <cp:version/>
  <cp:contentType/>
  <cp:contentStatus/>
</cp:coreProperties>
</file>