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2021'!$A$1:$G$952</definedName>
    <definedName name="Excel_BuiltIn_Print_Titles" localSheetId="0">'Расходы 2021'!$6:$6</definedName>
    <definedName name="_xlnm.Print_Titles" localSheetId="0">'Расходы 2021'!$6:$6</definedName>
    <definedName name="_xlnm.Print_Area" localSheetId="0">'Расходы 2021'!$A$1:$G$952</definedName>
  </definedNames>
  <calcPr fullCalcOnLoad="1"/>
</workbook>
</file>

<file path=xl/sharedStrings.xml><?xml version="1.0" encoding="utf-8"?>
<sst xmlns="http://schemas.openxmlformats.org/spreadsheetml/2006/main" count="2866" uniqueCount="661">
  <si>
    <t>Приложение № 1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</si>
  <si>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на 2021 год</t>
  </si>
  <si>
    <t>(руб.)</t>
  </si>
  <si>
    <t>Наименование</t>
  </si>
  <si>
    <t>Раздел, подраз-дел</t>
  </si>
  <si>
    <t>Целевая статья</t>
  </si>
  <si>
    <t>Вид расхо-дов</t>
  </si>
  <si>
    <t>Утверждено на 2021 год</t>
  </si>
  <si>
    <t>Изменения (увеличение (+), уменьшение (-))</t>
  </si>
  <si>
    <t>Сумма на 2021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</si>
  <si>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</si>
  <si>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</si>
  <si>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</si>
  <si>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</si>
  <si>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</si>
  <si>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</si>
  <si>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</si>
  <si>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</si>
  <si>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</si>
  <si>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</si>
  <si>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</si>
  <si>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</si>
  <si>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</si>
  <si>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</si>
  <si>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</si>
  <si>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</si>
  <si>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</si>
  <si>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</si>
  <si>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</si>
  <si>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</si>
  <si>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</si>
  <si>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</si>
  <si>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</si>
  <si>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</si>
  <si>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</si>
  <si>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</si>
  <si>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</si>
  <si>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</si>
  <si>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</si>
  <si>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</si>
  <si>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</si>
  <si>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</si>
  <si>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</si>
  <si>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</si>
  <si>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</si>
  <si>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</si>
  <si>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</si>
  <si>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</si>
  <si>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</si>
  <si>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</si>
  <si>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</si>
  <si>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</si>
  <si>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</si>
  <si>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</si>
  <si>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</si>
  <si>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</si>
  <si>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</si>
  <si>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</si>
  <si>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</si>
  <si>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</si>
  <si>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</si>
  <si>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</si>
  <si>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</si>
  <si>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</si>
  <si>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</si>
  <si>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</si>
  <si>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</si>
  <si>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</si>
  <si>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</si>
  <si>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</si>
  <si>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</si>
  <si>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</si>
  <si>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</si>
  <si>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</si>
  <si>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</si>
  <si>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</si>
  <si>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</si>
  <si>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</si>
  <si>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</si>
  <si>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</si>
  <si>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</si>
  <si>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</si>
  <si>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</si>
  <si>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</si>
  <si>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</si>
  <si>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</si>
  <si>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</si>
  <si>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Оказание услуг по транспортировке тел умерших в патологоанатомическое отделение</t>
  </si>
  <si>
    <t>09 5 02 10000</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</si>
  <si>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</si>
  <si>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</si>
  <si>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</si>
  <si>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</si>
  <si>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</si>
  <si>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</si>
  <si>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</si>
  <si>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</si>
  <si>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</si>
  <si>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</si>
  <si>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</si>
  <si>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</si>
  <si>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</si>
  <si>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</si>
  <si>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</si>
  <si>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</si>
  <si>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</si>
  <si>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</si>
  <si>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</si>
  <si>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</si>
  <si>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</si>
  <si>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</si>
  <si>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</si>
  <si>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</si>
  <si>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</si>
  <si>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</si>
  <si>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</si>
  <si>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</si>
  <si>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</si>
  <si>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</si>
  <si>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</si>
  <si>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</si>
  <si>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</si>
  <si>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</si>
  <si>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</si>
  <si>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</si>
  <si>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</si>
  <si>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</si>
  <si>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</si>
  <si>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</si>
  <si>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</si>
  <si>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</si>
  <si>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</si>
  <si>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</si>
  <si>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</si>
  <si>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</si>
  <si>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</si>
  <si>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</si>
  <si>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</si>
  <si>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проведению Всероссийской переписи населения 2020 года</t>
  </si>
  <si>
    <t>70 4 00 54690</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</si>
  <si>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</si>
  <si>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</si>
  <si>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</si>
  <si>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</si>
  <si>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</si>
  <si>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</si>
  <si>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</si>
  <si>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</si>
  <si>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</si>
  <si>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</si>
  <si>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</si>
  <si>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</si>
  <si>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</si>
  <si>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</si>
  <si>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</si>
  <si>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</si>
  <si>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</si>
  <si>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</si>
  <si>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</si>
  <si>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</si>
  <si>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</si>
  <si>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</si>
  <si>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</si>
  <si>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</si>
  <si>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</si>
  <si>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</si>
  <si>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</si>
  <si>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</si>
  <si>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</si>
  <si>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</si>
  <si>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</si>
  <si>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</si>
  <si>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</si>
  <si>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</si>
  <si>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</si>
  <si>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</si>
  <si>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</si>
  <si>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</si>
  <si>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</si>
  <si>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</si>
  <si>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</si>
  <si>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</si>
  <si>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</si>
  <si>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</si>
  <si>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Дорожное хозяйство (дорожные фонды)</t>
  </si>
  <si>
    <t>0409</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</si>
  <si>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</si>
  <si>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</si>
  <si>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</si>
  <si>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</si>
  <si>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Устройство съездов с пешеходных тротуаров для маломобильных групп населения</t>
  </si>
  <si>
    <t>05 2 02 10000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</si>
  <si>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</si>
  <si>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</si>
  <si>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</si>
  <si>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</si>
  <si>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</si>
  <si>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</si>
  <si>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</si>
  <si>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</si>
  <si>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</si>
  <si>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</si>
  <si>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</si>
  <si>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</si>
  <si>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</si>
  <si>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</si>
  <si>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</si>
  <si>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</si>
  <si>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</si>
  <si>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</si>
  <si>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</si>
  <si>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</si>
  <si>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</si>
  <si>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</si>
  <si>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</si>
  <si>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</si>
  <si>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и качественные автомобильные дороги")</t>
  </si>
  <si>
    <t>06 0 R1 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</si>
  <si>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</si>
  <si>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 0 R1 L5000</t>
  </si>
  <si>
    <t>Связь и информатика</t>
  </si>
  <si>
    <t>0410</t>
  </si>
  <si>
    <t xml:space="preserve">Проведение работ по построению сегментов высокоскоростной корпоративной информационно-коммуникационной сети </t>
  </si>
  <si>
    <t>70 4 00 S6540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</si>
  <si>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</si>
  <si>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</si>
  <si>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</si>
  <si>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</si>
  <si>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</si>
  <si>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</si>
  <si>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</si>
  <si>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</si>
  <si>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</si>
  <si>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</si>
  <si>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</si>
  <si>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</si>
  <si>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</si>
  <si>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</si>
  <si>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</si>
  <si>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</si>
  <si>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</si>
  <si>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</si>
  <si>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</si>
  <si>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</si>
  <si>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</si>
  <si>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</si>
  <si>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</si>
  <si>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</si>
  <si>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</si>
  <si>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</si>
  <si>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</si>
  <si>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</si>
  <si>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</si>
  <si>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</si>
  <si>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</si>
  <si>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</si>
  <si>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</si>
  <si>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</si>
  <si>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</si>
  <si>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</si>
  <si>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</si>
  <si>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</si>
  <si>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</si>
  <si>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</si>
  <si>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</si>
  <si>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</si>
  <si>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</si>
  <si>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</si>
  <si>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</si>
  <si>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</si>
  <si>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</si>
  <si>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</si>
  <si>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</si>
  <si>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</si>
  <si>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</si>
  <si>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</si>
  <si>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</si>
  <si>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Выполнение работ по сносу многоквартирного жилого дома, расположенного по адресу: г.Обнинск, ул.Менделеева, д.8/4</t>
  </si>
  <si>
    <t>70 3 00 13010</t>
  </si>
  <si>
    <t>Коммунальное хозяйство</t>
  </si>
  <si>
    <t>0502</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</si>
  <si>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</si>
  <si>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</si>
  <si>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</si>
  <si>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</si>
  <si>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</si>
  <si>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</si>
  <si>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</si>
  <si>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</si>
  <si>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</si>
  <si>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</si>
  <si>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</si>
  <si>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</si>
  <si>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</si>
  <si>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</si>
  <si>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</si>
  <si>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</si>
  <si>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Реализация проекта "Трасса Северного водовода от Вашутинского водозабора до города Обнинска, пр-т Маркса, ВК 874"</t>
  </si>
  <si>
    <t>10 0 11 10000</t>
  </si>
  <si>
    <t>Проектирование и строительство очистных сооружений ливневых вод для детских садов по ул. Пирогова д.12 и д.14</t>
  </si>
  <si>
    <t>10 0 12 10000</t>
  </si>
  <si>
    <t>Реконструкция "старой" линии очистных сооружений канализации города, включая технологический и ценовой аудит  (за счет субсидии на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</si>
  <si>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10 0 13 S9030</t>
  </si>
  <si>
    <t>Проектирование и строительство станций очистки воды для скважин Вашутинского водозабора</t>
  </si>
  <si>
    <t>10 0 14 10000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</si>
  <si>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</si>
  <si>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</si>
  <si>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</si>
  <si>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</si>
  <si>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</si>
  <si>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</si>
  <si>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</si>
  <si>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Выполнение работ по подключению жилых домов № 2, 7, 9а по ул.Пирогова к централизованной системе водоснабжения МП «Водоканал»</t>
  </si>
  <si>
    <t>70 3 00 13014</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</si>
  <si>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</si>
  <si>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</si>
  <si>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</si>
  <si>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</si>
  <si>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</si>
  <si>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</si>
  <si>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</si>
  <si>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</si>
  <si>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</si>
  <si>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</si>
  <si>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</si>
  <si>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</si>
  <si>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</si>
  <si>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</si>
  <si>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</si>
  <si>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</si>
  <si>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</si>
  <si>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</si>
  <si>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</si>
  <si>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</si>
  <si>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</si>
  <si>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</si>
  <si>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</si>
  <si>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</si>
  <si>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</si>
  <si>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</si>
  <si>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</si>
  <si>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</si>
  <si>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</si>
  <si>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</si>
  <si>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</si>
  <si>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</si>
  <si>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</si>
  <si>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</si>
  <si>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</si>
  <si>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</si>
  <si>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</si>
  <si>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</si>
  <si>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</si>
  <si>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Увеличение уставного фонда муниципального предприятия города Обнинска Калужской области "Коммунальное хозяйство"</t>
  </si>
  <si>
    <t>70 3 00 13013</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</si>
  <si>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</si>
  <si>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</si>
  <si>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</si>
  <si>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</si>
  <si>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</si>
  <si>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</si>
  <si>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</si>
  <si>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</si>
  <si>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</si>
  <si>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</si>
  <si>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</si>
  <si>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</si>
  <si>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</si>
  <si>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</si>
  <si>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</si>
  <si>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</si>
  <si>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</si>
  <si>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</si>
  <si>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</si>
  <si>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</si>
  <si>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</si>
  <si>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</si>
  <si>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</si>
  <si>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</si>
  <si>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</si>
  <si>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</si>
  <si>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</si>
  <si>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 1 P2 52321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</si>
  <si>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</si>
  <si>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</si>
  <si>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</si>
  <si>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</si>
  <si>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</si>
  <si>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</si>
  <si>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</si>
  <si>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</si>
  <si>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</si>
  <si>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</si>
  <si>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</si>
  <si>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</si>
  <si>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</si>
  <si>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</si>
  <si>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</si>
  <si>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</si>
  <si>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</si>
  <si>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</si>
  <si>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</si>
  <si>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</si>
  <si>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</si>
  <si>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</si>
  <si>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</si>
  <si>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</si>
  <si>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</si>
  <si>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</si>
  <si>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</si>
  <si>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</si>
  <si>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</si>
  <si>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</si>
  <si>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</si>
  <si>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</si>
  <si>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</si>
  <si>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</si>
  <si>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</si>
  <si>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</si>
  <si>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</si>
  <si>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</si>
  <si>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</si>
  <si>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</si>
  <si>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</si>
  <si>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</si>
  <si>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</si>
  <si>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</si>
  <si>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</si>
  <si>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</si>
  <si>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</si>
  <si>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</si>
  <si>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</si>
  <si>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</si>
  <si>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</si>
  <si>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</si>
  <si>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</si>
  <si>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</si>
  <si>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</si>
  <si>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</si>
  <si>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</si>
  <si>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</si>
  <si>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</si>
  <si>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</si>
  <si>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</si>
  <si>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</si>
  <si>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</si>
  <si>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</si>
  <si>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</si>
  <si>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</si>
  <si>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</si>
  <si>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</si>
  <si>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</si>
  <si>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</si>
  <si>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</si>
  <si>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</si>
  <si>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300</t>
  </si>
  <si>
    <t>320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</si>
  <si>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</si>
  <si>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</si>
  <si>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</si>
  <si>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</si>
  <si>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</si>
  <si>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</si>
  <si>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</si>
  <si>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</si>
  <si>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</si>
  <si>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</si>
  <si>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</si>
  <si>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</si>
  <si>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</si>
  <si>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</si>
  <si>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</si>
  <si>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</si>
  <si>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</si>
  <si>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</si>
  <si>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</si>
  <si>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</si>
  <si>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</si>
  <si>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</si>
  <si>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</si>
  <si>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</si>
  <si>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</si>
  <si>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</si>
  <si>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</si>
  <si>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</si>
  <si>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</si>
  <si>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</si>
  <si>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</si>
  <si>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</si>
  <si>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</si>
  <si>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</si>
  <si>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</si>
  <si>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</si>
  <si>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</si>
  <si>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</si>
  <si>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</si>
  <si>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</si>
  <si>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</si>
  <si>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</si>
  <si>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</si>
  <si>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</si>
  <si>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</si>
  <si>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</si>
  <si>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</si>
  <si>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</si>
  <si>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</si>
  <si>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</si>
  <si>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</si>
  <si>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</si>
  <si>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</si>
  <si>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</si>
  <si>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</si>
  <si>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</si>
  <si>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</si>
  <si>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</si>
  <si>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</si>
  <si>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</si>
  <si>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</si>
  <si>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</si>
  <si>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</si>
  <si>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</si>
  <si>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</si>
  <si>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</si>
  <si>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</si>
  <si>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</si>
  <si>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</si>
  <si>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</si>
  <si>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</si>
  <si>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</si>
  <si>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</si>
  <si>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</si>
  <si>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</si>
  <si>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</si>
  <si>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</si>
  <si>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</si>
  <si>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</si>
  <si>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</si>
  <si>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</si>
  <si>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</si>
  <si>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</si>
  <si>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</si>
  <si>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</si>
  <si>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</si>
  <si>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</si>
  <si>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</si>
  <si>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</si>
  <si>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</si>
  <si>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</si>
  <si>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</si>
  <si>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</si>
  <si>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</si>
  <si>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</si>
  <si>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</si>
  <si>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</si>
  <si>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</si>
  <si>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</si>
  <si>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</si>
  <si>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</si>
  <si>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</si>
  <si>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</si>
  <si>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</si>
  <si>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</si>
  <si>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</si>
  <si>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</si>
  <si>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</si>
  <si>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</si>
  <si>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</si>
  <si>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</si>
  <si>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</si>
  <si>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</si>
  <si>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</si>
  <si>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</si>
  <si>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</si>
  <si>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</si>
  <si>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</si>
  <si>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</si>
  <si>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</si>
  <si>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</si>
  <si>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</si>
  <si>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</si>
  <si>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</si>
  <si>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</si>
  <si>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</si>
  <si>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</si>
  <si>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</si>
  <si>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</si>
  <si>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</si>
  <si>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</si>
  <si>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</si>
  <si>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</si>
  <si>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</si>
  <si>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</si>
  <si>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</si>
  <si>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</si>
  <si>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</si>
  <si>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</si>
  <si>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</si>
  <si>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</si>
  <si>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</si>
  <si>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</si>
  <si>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</si>
  <si>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</si>
  <si>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</si>
  <si>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</si>
  <si>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</si>
  <si>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</si>
  <si>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</si>
  <si>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70 9 00 13003</t>
  </si>
  <si>
    <t>310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</si>
  <si>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</si>
  <si>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</si>
  <si>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</si>
  <si>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</si>
  <si>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</si>
  <si>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</si>
  <si>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</si>
  <si>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</si>
  <si>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</si>
  <si>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</si>
  <si>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</si>
  <si>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</si>
  <si>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</si>
  <si>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04 0 05 00150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</si>
  <si>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</si>
  <si>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</si>
  <si>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</si>
  <si>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Мероприятия по формированию условий для развития комплексной реабилитации и абилитации инвалидов,в том числе детей-инвалидов</t>
  </si>
  <si>
    <t>05 2 08 L5140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</si>
  <si>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</si>
  <si>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</si>
  <si>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</si>
  <si>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</si>
  <si>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</si>
  <si>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</si>
  <si>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</si>
  <si>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</si>
  <si>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</si>
  <si>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</si>
  <si>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</si>
  <si>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</si>
  <si>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</si>
  <si>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</si>
  <si>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</si>
  <si>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</si>
  <si>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</si>
  <si>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</si>
  <si>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</si>
  <si>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</si>
  <si>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</si>
  <si>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</si>
  <si>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</si>
  <si>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</si>
  <si>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</si>
  <si>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</si>
  <si>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</si>
  <si>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</si>
  <si>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</si>
  <si>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</si>
  <si>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</si>
  <si>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</si>
  <si>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от 25.05.2021 № 03-14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</si>
</sst>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i/>
      <sz val="10"/>
      <name val="Arial Cyr"/>
      <family val="0"/>
    </font>
    <font>
      <b/>
      <i/>
      <sz val="10"/>
      <name val="Arial Cyr"/>
      <family val="0"/>
    </font>
    <font>
      <sz val="10"/>
      <name val="Times New Roman"/>
      <family val="1"/>
    </font>
    <font>
      <b/>
      <sz val="12"/>
      <color indexed="8"/>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112">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Border="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xf>
    <xf numFmtId="0" fontId="33" fillId="0" borderId="0" xfId="0" applyFont="1" applyFill="1" applyAlignment="1">
      <alignment horizontal="right"/>
    </xf>
    <xf numFmtId="49" fontId="36" fillId="0" borderId="11"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Border="1" applyAlignment="1">
      <alignment horizontal="left"/>
    </xf>
    <xf numFmtId="0" fontId="38" fillId="0" borderId="0" xfId="0" applyFont="1" applyFill="1" applyAlignment="1">
      <alignment horizontal="left"/>
    </xf>
    <xf numFmtId="49" fontId="36" fillId="0" borderId="11" xfId="0" applyNumberFormat="1" applyFont="1" applyFill="1" applyBorder="1" applyAlignment="1">
      <alignment horizontal="left" wrapText="1"/>
    </xf>
    <xf numFmtId="49" fontId="36" fillId="0" borderId="11" xfId="0" applyNumberFormat="1" applyFont="1" applyFill="1" applyBorder="1" applyAlignment="1">
      <alignment horizontal="center" wrapText="1"/>
    </xf>
    <xf numFmtId="4" fontId="36" fillId="0" borderId="11" xfId="0" applyNumberFormat="1" applyFont="1" applyFill="1" applyBorder="1" applyAlignment="1">
      <alignment/>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wrapText="1"/>
    </xf>
    <xf numFmtId="4" fontId="39" fillId="0" borderId="11" xfId="0" applyNumberFormat="1" applyFont="1" applyFill="1" applyBorder="1" applyAlignment="1">
      <alignmen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40" fillId="0" borderId="11" xfId="0" applyFont="1" applyFill="1" applyBorder="1" applyAlignment="1">
      <alignment horizontal="left" wrapText="1"/>
    </xf>
    <xf numFmtId="4" fontId="0" fillId="0" borderId="0" xfId="0" applyNumberFormat="1" applyFont="1" applyFill="1" applyAlignment="1">
      <alignment horizontal="left"/>
    </xf>
    <xf numFmtId="0" fontId="33" fillId="0" borderId="11" xfId="0" applyFont="1" applyFill="1" applyBorder="1" applyAlignment="1">
      <alignment horizontal="justify" wrapText="1"/>
    </xf>
    <xf numFmtId="0" fontId="33" fillId="0" borderId="11" xfId="0" applyFont="1" applyFill="1" applyBorder="1" applyAlignment="1">
      <alignment horizontal="left" wrapText="1"/>
    </xf>
    <xf numFmtId="0" fontId="0" fillId="0" borderId="0" xfId="0" applyFont="1" applyFill="1" applyBorder="1" applyAlignment="1">
      <alignment horizontal="left"/>
    </xf>
    <xf numFmtId="49" fontId="33" fillId="22" borderId="11" xfId="0" applyNumberFormat="1" applyFont="1" applyFill="1" applyBorder="1" applyAlignment="1">
      <alignment horizontal="center" wrapText="1"/>
    </xf>
    <xf numFmtId="49" fontId="33" fillId="22" borderId="11" xfId="0" applyNumberFormat="1" applyFont="1" applyFill="1" applyBorder="1" applyAlignment="1">
      <alignment horizontal="left" wrapText="1"/>
    </xf>
    <xf numFmtId="0" fontId="40" fillId="22" borderId="11" xfId="0" applyFont="1" applyFill="1" applyBorder="1" applyAlignment="1">
      <alignment horizontal="left" wrapText="1"/>
    </xf>
    <xf numFmtId="0" fontId="33" fillId="22" borderId="11" xfId="0" applyFont="1" applyFill="1" applyBorder="1" applyAlignment="1">
      <alignment horizontal="center" wrapText="1"/>
    </xf>
    <xf numFmtId="4" fontId="33" fillId="22" borderId="11" xfId="0" applyNumberFormat="1" applyFont="1" applyFill="1" applyBorder="1" applyAlignment="1">
      <alignment wrapText="1"/>
    </xf>
    <xf numFmtId="0" fontId="0" fillId="22" borderId="0" xfId="0" applyFont="1" applyFill="1" applyAlignment="1">
      <alignment horizontal="left"/>
    </xf>
    <xf numFmtId="0" fontId="0" fillId="22" borderId="0" xfId="0" applyFont="1" applyFill="1" applyBorder="1" applyAlignment="1">
      <alignment horizontal="left"/>
    </xf>
    <xf numFmtId="4" fontId="33" fillId="22" borderId="11" xfId="0" applyNumberFormat="1" applyFont="1" applyFill="1" applyBorder="1" applyAlignment="1">
      <alignment horizontal="right" wrapText="1"/>
    </xf>
    <xf numFmtId="0" fontId="0" fillId="22" borderId="0" xfId="0" applyFill="1" applyBorder="1" applyAlignment="1">
      <alignment horizontal="left"/>
    </xf>
    <xf numFmtId="0" fontId="0" fillId="22" borderId="0" xfId="0" applyFill="1" applyAlignment="1">
      <alignment horizontal="left"/>
    </xf>
    <xf numFmtId="0" fontId="38" fillId="22" borderId="0" xfId="0" applyFont="1" applyFill="1" applyBorder="1" applyAlignment="1">
      <alignment horizontal="left"/>
    </xf>
    <xf numFmtId="0" fontId="38" fillId="22" borderId="0" xfId="0" applyFont="1" applyFill="1" applyAlignment="1">
      <alignment horizontal="left"/>
    </xf>
    <xf numFmtId="0" fontId="41" fillId="0" borderId="11" xfId="0" applyFont="1" applyFill="1" applyBorder="1" applyAlignment="1">
      <alignment horizontal="left" wrapText="1"/>
    </xf>
    <xf numFmtId="0" fontId="39" fillId="0" borderId="11" xfId="0" applyFont="1" applyFill="1" applyBorder="1" applyAlignment="1">
      <alignment horizontal="center" wrapText="1"/>
    </xf>
    <xf numFmtId="4" fontId="39" fillId="0" borderId="11" xfId="0" applyNumberFormat="1" applyFont="1" applyFill="1" applyBorder="1" applyAlignment="1">
      <alignment wrapText="1"/>
    </xf>
    <xf numFmtId="0" fontId="33" fillId="22"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41" fillId="0" borderId="11" xfId="98" applyFont="1" applyAlignment="1" applyProtection="1">
      <alignment wrapText="1"/>
      <protection/>
    </xf>
    <xf numFmtId="49" fontId="41" fillId="0" borderId="11" xfId="89" applyFont="1" applyAlignment="1" applyProtection="1">
      <alignment horizontal="center" shrinkToFit="1"/>
      <protection/>
    </xf>
    <xf numFmtId="4" fontId="39" fillId="0" borderId="11" xfId="0" applyNumberFormat="1" applyFont="1" applyBorder="1" applyAlignment="1">
      <alignment wrapText="1"/>
    </xf>
    <xf numFmtId="4" fontId="39" fillId="0" borderId="11" xfId="0" applyNumberFormat="1" applyFont="1" applyBorder="1" applyAlignment="1">
      <alignment/>
    </xf>
    <xf numFmtId="0" fontId="40" fillId="0" borderId="11" xfId="98" applyFont="1" applyAlignment="1" applyProtection="1">
      <alignment wrapText="1"/>
      <protection/>
    </xf>
    <xf numFmtId="49" fontId="40" fillId="0" borderId="11" xfId="89" applyFont="1" applyAlignment="1" applyProtection="1">
      <alignment horizontal="center" shrinkToFit="1"/>
      <protection/>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49" fontId="37" fillId="0" borderId="11" xfId="0" applyNumberFormat="1" applyFont="1" applyFill="1" applyBorder="1" applyAlignment="1">
      <alignment horizontal="center" wrapText="1"/>
    </xf>
    <xf numFmtId="49" fontId="33" fillId="0" borderId="11" xfId="0" applyNumberFormat="1" applyFont="1" applyFill="1" applyBorder="1" applyAlignment="1">
      <alignment horizontal="center"/>
    </xf>
    <xf numFmtId="0" fontId="33" fillId="0" borderId="11" xfId="0" applyFont="1" applyFill="1" applyBorder="1" applyAlignment="1">
      <alignment wrapText="1"/>
    </xf>
    <xf numFmtId="0" fontId="40" fillId="0" borderId="11" xfId="131" applyFont="1" applyFill="1" applyBorder="1" applyAlignment="1">
      <alignment horizontal="left" vertical="top" wrapText="1"/>
      <protection/>
    </xf>
    <xf numFmtId="0" fontId="42" fillId="0" borderId="0" xfId="0" applyFont="1" applyFill="1" applyAlignment="1">
      <alignment horizontal="left"/>
    </xf>
    <xf numFmtId="0" fontId="43" fillId="0" borderId="0" xfId="0" applyFont="1" applyFill="1" applyBorder="1" applyAlignment="1">
      <alignment horizontal="left"/>
    </xf>
    <xf numFmtId="0" fontId="43" fillId="0" borderId="0" xfId="0" applyFont="1" applyFill="1" applyAlignment="1">
      <alignment horizontal="left"/>
    </xf>
    <xf numFmtId="4" fontId="36" fillId="0" borderId="11" xfId="0" applyNumberFormat="1" applyFont="1" applyFill="1" applyBorder="1" applyAlignment="1">
      <alignment wrapText="1"/>
    </xf>
    <xf numFmtId="49" fontId="39" fillId="0" borderId="11" xfId="0" applyNumberFormat="1" applyFont="1" applyFill="1" applyBorder="1" applyAlignment="1">
      <alignment horizontal="center"/>
    </xf>
    <xf numFmtId="0" fontId="33" fillId="0" borderId="11" xfId="0" applyFont="1" applyFill="1" applyBorder="1" applyAlignment="1">
      <alignment horizontal="left"/>
    </xf>
    <xf numFmtId="0" fontId="33" fillId="0" borderId="21" xfId="0" applyFont="1" applyFill="1" applyBorder="1" applyAlignment="1">
      <alignment horizontal="left" wrapText="1"/>
    </xf>
    <xf numFmtId="49" fontId="33" fillId="0" borderId="21" xfId="0" applyNumberFormat="1" applyFont="1" applyFill="1" applyBorder="1" applyAlignment="1">
      <alignment horizontal="center"/>
    </xf>
    <xf numFmtId="49" fontId="33" fillId="0" borderId="21" xfId="0" applyNumberFormat="1" applyFont="1" applyFill="1" applyBorder="1" applyAlignment="1">
      <alignment horizontal="center" wrapText="1"/>
    </xf>
    <xf numFmtId="0" fontId="33" fillId="0" borderId="21" xfId="0" applyFont="1" applyFill="1" applyBorder="1" applyAlignment="1">
      <alignment horizontal="center" wrapText="1"/>
    </xf>
    <xf numFmtId="4" fontId="33" fillId="0" borderId="21" xfId="0" applyNumberFormat="1" applyFont="1" applyFill="1" applyBorder="1" applyAlignment="1">
      <alignment wrapText="1"/>
    </xf>
    <xf numFmtId="0" fontId="33" fillId="22" borderId="21" xfId="0" applyFont="1" applyFill="1" applyBorder="1" applyAlignment="1">
      <alignment horizontal="left" wrapText="1"/>
    </xf>
    <xf numFmtId="49" fontId="33" fillId="22" borderId="21" xfId="0" applyNumberFormat="1" applyFont="1" applyFill="1" applyBorder="1" applyAlignment="1">
      <alignment horizontal="center"/>
    </xf>
    <xf numFmtId="49" fontId="33" fillId="22" borderId="21" xfId="0" applyNumberFormat="1" applyFont="1" applyFill="1" applyBorder="1" applyAlignment="1">
      <alignment horizontal="center" wrapText="1"/>
    </xf>
    <xf numFmtId="0" fontId="33" fillId="22" borderId="21" xfId="0" applyFont="1" applyFill="1" applyBorder="1" applyAlignment="1">
      <alignment horizontal="center" wrapText="1"/>
    </xf>
    <xf numFmtId="4" fontId="33" fillId="22" borderId="21" xfId="0" applyNumberFormat="1" applyFont="1" applyFill="1" applyBorder="1" applyAlignment="1">
      <alignment wrapText="1"/>
    </xf>
    <xf numFmtId="49" fontId="33" fillId="22" borderId="11" xfId="0" applyNumberFormat="1" applyFont="1" applyFill="1" applyBorder="1" applyAlignment="1">
      <alignment horizontal="center"/>
    </xf>
    <xf numFmtId="0" fontId="33" fillId="22" borderId="11" xfId="0" applyNumberFormat="1" applyFont="1" applyFill="1" applyBorder="1" applyAlignment="1">
      <alignment horizontal="left" wrapText="1"/>
    </xf>
    <xf numFmtId="0" fontId="40" fillId="0" borderId="11" xfId="0" applyNumberFormat="1" applyFont="1" applyFill="1" applyBorder="1" applyAlignment="1">
      <alignment horizontal="left" wrapText="1"/>
    </xf>
    <xf numFmtId="0" fontId="40" fillId="22" borderId="11" xfId="0" applyNumberFormat="1" applyFont="1" applyFill="1" applyBorder="1" applyAlignment="1">
      <alignment horizontal="left" wrapText="1"/>
    </xf>
    <xf numFmtId="0" fontId="36" fillId="0" borderId="11" xfId="0" applyFont="1" applyFill="1" applyBorder="1" applyAlignment="1">
      <alignment horizontal="center" wrapText="1"/>
    </xf>
    <xf numFmtId="0" fontId="33" fillId="22" borderId="26" xfId="0" applyFont="1" applyFill="1" applyBorder="1" applyAlignment="1">
      <alignment horizontal="center" wrapText="1"/>
    </xf>
    <xf numFmtId="0" fontId="33" fillId="0" borderId="26" xfId="0" applyFont="1" applyFill="1" applyBorder="1" applyAlignment="1">
      <alignment horizontal="center" wrapText="1"/>
    </xf>
    <xf numFmtId="0" fontId="33" fillId="0" borderId="11" xfId="0" applyFont="1" applyBorder="1" applyAlignment="1">
      <alignment horizontal="left" wrapText="1"/>
    </xf>
    <xf numFmtId="49" fontId="33" fillId="0" borderId="11" xfId="0" applyNumberFormat="1" applyFont="1" applyBorder="1" applyAlignment="1">
      <alignment horizontal="center" wrapText="1"/>
    </xf>
    <xf numFmtId="0" fontId="33" fillId="0" borderId="11" xfId="0" applyFont="1" applyBorder="1" applyAlignment="1">
      <alignment horizontal="center" wrapText="1"/>
    </xf>
    <xf numFmtId="0" fontId="33" fillId="0" borderId="26" xfId="0" applyFont="1" applyBorder="1" applyAlignment="1">
      <alignment horizontal="center" wrapText="1"/>
    </xf>
    <xf numFmtId="0" fontId="40" fillId="0" borderId="11" xfId="0" applyFont="1" applyBorder="1" applyAlignment="1">
      <alignment horizontal="left" wrapText="1"/>
    </xf>
    <xf numFmtId="0" fontId="39" fillId="0" borderId="11" xfId="0" applyFont="1" applyFill="1" applyBorder="1" applyAlignment="1">
      <alignment horizontal="left" wrapText="1"/>
    </xf>
    <xf numFmtId="4" fontId="39" fillId="0" borderId="11" xfId="0" applyNumberFormat="1" applyFont="1" applyFill="1" applyBorder="1" applyAlignment="1">
      <alignment horizontal="right" wrapText="1"/>
    </xf>
    <xf numFmtId="0" fontId="33" fillId="22" borderId="11" xfId="0" applyFont="1" applyFill="1" applyBorder="1" applyAlignment="1">
      <alignment wrapText="1"/>
    </xf>
    <xf numFmtId="0" fontId="40" fillId="22" borderId="11" xfId="110" applyNumberFormat="1" applyFont="1" applyFill="1" applyProtection="1">
      <alignment vertical="top" wrapText="1"/>
      <protection/>
    </xf>
    <xf numFmtId="4" fontId="40" fillId="0" borderId="11" xfId="99" applyNumberFormat="1" applyFont="1" applyFill="1" applyBorder="1" applyProtection="1">
      <alignment horizontal="right" vertical="top" shrinkToFit="1"/>
      <protection locked="0"/>
    </xf>
    <xf numFmtId="0" fontId="39" fillId="0" borderId="11" xfId="0" applyNumberFormat="1" applyFont="1" applyFill="1" applyBorder="1" applyAlignment="1">
      <alignment horizontal="left" wrapText="1"/>
    </xf>
    <xf numFmtId="0" fontId="40" fillId="0" borderId="11" xfId="130" applyFont="1" applyFill="1" applyBorder="1" applyAlignment="1">
      <alignment vertical="top" wrapText="1"/>
      <protection/>
    </xf>
    <xf numFmtId="0" fontId="44" fillId="0" borderId="0" xfId="0" applyFont="1" applyFill="1" applyAlignment="1">
      <alignment horizontal="left"/>
    </xf>
    <xf numFmtId="0" fontId="44" fillId="0" borderId="0" xfId="0" applyFont="1" applyFill="1" applyBorder="1" applyAlignment="1">
      <alignment horizontal="left"/>
    </xf>
    <xf numFmtId="0" fontId="44" fillId="22" borderId="0" xfId="0" applyFont="1" applyFill="1" applyAlignment="1">
      <alignment horizontal="left"/>
    </xf>
    <xf numFmtId="0" fontId="44" fillId="22" borderId="0" xfId="0" applyFont="1" applyFill="1" applyBorder="1" applyAlignment="1">
      <alignment horizontal="left"/>
    </xf>
    <xf numFmtId="0" fontId="45" fillId="0" borderId="11" xfId="0" applyFont="1" applyFill="1" applyBorder="1" applyAlignment="1">
      <alignment horizontal="left" wrapText="1"/>
    </xf>
    <xf numFmtId="0" fontId="46" fillId="0" borderId="11" xfId="0" applyFont="1" applyFill="1" applyBorder="1" applyAlignment="1">
      <alignment/>
    </xf>
    <xf numFmtId="0" fontId="47" fillId="0" borderId="11" xfId="0" applyFont="1" applyFill="1" applyBorder="1" applyAlignment="1">
      <alignment/>
    </xf>
    <xf numFmtId="0" fontId="47" fillId="0" borderId="11" xfId="0" applyFont="1" applyFill="1" applyBorder="1" applyAlignment="1">
      <alignment/>
    </xf>
    <xf numFmtId="4" fontId="46" fillId="0" borderId="11" xfId="0" applyNumberFormat="1" applyFont="1" applyFill="1" applyBorder="1" applyAlignment="1">
      <alignment/>
    </xf>
    <xf numFmtId="0" fontId="48" fillId="0" borderId="0" xfId="0" applyFont="1" applyFill="1" applyAlignment="1">
      <alignment horizontal="left"/>
    </xf>
    <xf numFmtId="0" fontId="49" fillId="0" borderId="0" xfId="0" applyFont="1" applyFill="1" applyAlignment="1">
      <alignment horizontal="left"/>
    </xf>
    <xf numFmtId="0" fontId="48" fillId="0" borderId="0" xfId="0" applyFont="1" applyFill="1" applyBorder="1" applyAlignment="1">
      <alignment horizontal="left"/>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958"/>
  <sheetViews>
    <sheetView tabSelected="1" view="pageBreakPreview" zoomScale="90" zoomScaleNormal="90" zoomScaleSheetLayoutView="90" zoomScalePageLayoutView="0" workbookViewId="0" topLeftCell="A1">
      <selection activeCell="A1" sqref="A1"/>
    </sheetView>
  </sheetViews>
  <sheetFormatPr defaultColWidth="8.875" defaultRowHeight="12.75"/>
  <cols>
    <col min="1" max="1" width="61.625" style="1" customWidth="1"/>
    <col min="2" max="2" width="8.625" style="1" customWidth="1"/>
    <col min="3" max="3" width="18.125" style="2" customWidth="1"/>
    <col min="4" max="4" width="7.375" style="2" customWidth="1"/>
    <col min="5" max="5" width="20.625" style="2" customWidth="1"/>
    <col min="6" max="7" width="20.875" style="2" customWidth="1"/>
    <col min="8" max="8" width="19.00390625" style="3" customWidth="1"/>
    <col min="9" max="9" width="16.625" style="4" customWidth="1"/>
    <col min="10" max="34" width="8.875" style="4" customWidth="1"/>
    <col min="35" max="16384" width="8.875" style="5" customWidth="1"/>
  </cols>
  <sheetData>
    <row r="1" spans="1:7" ht="61.5" customHeight="1">
      <c r="A1" s="6"/>
      <c r="B1" s="6"/>
      <c r="C1" s="7"/>
      <c r="D1" s="7"/>
      <c r="E1" s="110" t="s">
        <v>0</v>
      </c>
      <c r="F1" s="110"/>
      <c r="G1" s="110"/>
    </row>
    <row r="2" spans="1:7" ht="15.75" customHeight="1">
      <c r="A2" s="6"/>
      <c r="B2" s="6"/>
      <c r="C2" s="7"/>
      <c r="D2" s="7"/>
      <c r="E2" s="110" t="s">
        <v>660</v>
      </c>
      <c r="F2" s="110"/>
      <c r="G2" s="110"/>
    </row>
    <row r="3" spans="1:7" ht="15.75">
      <c r="A3" s="6"/>
      <c r="B3" s="6"/>
      <c r="C3" s="8"/>
      <c r="D3" s="8"/>
      <c r="E3" s="8"/>
      <c r="F3" s="8"/>
      <c r="G3" s="8"/>
    </row>
    <row r="4" spans="1:7" ht="57" customHeight="1">
      <c r="A4" s="111" t="s">
        <v>1</v>
      </c>
      <c r="B4" s="111"/>
      <c r="C4" s="111"/>
      <c r="D4" s="111"/>
      <c r="E4" s="111"/>
      <c r="F4" s="111"/>
      <c r="G4" s="111"/>
    </row>
    <row r="5" spans="1:7" ht="22.5" customHeight="1">
      <c r="A5" s="9"/>
      <c r="B5" s="10"/>
      <c r="C5" s="9"/>
      <c r="D5" s="9"/>
      <c r="E5" s="9"/>
      <c r="F5" s="9"/>
      <c r="G5" s="11" t="s">
        <v>2</v>
      </c>
    </row>
    <row r="6" spans="1:34" s="16" customFormat="1" ht="54.75" customHeight="1">
      <c r="A6" s="12" t="s">
        <v>3</v>
      </c>
      <c r="B6" s="13" t="s">
        <v>4</v>
      </c>
      <c r="C6" s="13" t="s">
        <v>5</v>
      </c>
      <c r="D6" s="13" t="s">
        <v>6</v>
      </c>
      <c r="E6" s="14" t="s">
        <v>7</v>
      </c>
      <c r="F6" s="14" t="s">
        <v>8</v>
      </c>
      <c r="G6" s="14" t="s">
        <v>9</v>
      </c>
      <c r="H6" s="3"/>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s="16" customFormat="1" ht="15.75">
      <c r="A7" s="17" t="s">
        <v>10</v>
      </c>
      <c r="B7" s="18" t="s">
        <v>11</v>
      </c>
      <c r="C7" s="18"/>
      <c r="D7" s="18"/>
      <c r="E7" s="19">
        <f>SUM(E16,E50,E44,E73,E82,E8,E67)</f>
        <v>434374647</v>
      </c>
      <c r="F7" s="19">
        <f>SUM(F16,F50,F44,F73,F82,F8,F67)</f>
        <v>23981514.15</v>
      </c>
      <c r="G7" s="19">
        <f aca="true" t="shared" si="0" ref="G7:G70">SUM(E7:F7)</f>
        <v>458356161.15</v>
      </c>
      <c r="H7" s="3"/>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s="16" customFormat="1" ht="47.25">
      <c r="A8" s="20" t="s">
        <v>12</v>
      </c>
      <c r="B8" s="21" t="s">
        <v>13</v>
      </c>
      <c r="C8" s="21"/>
      <c r="D8" s="21"/>
      <c r="E8" s="22">
        <f>E9</f>
        <v>34587522</v>
      </c>
      <c r="F8" s="22">
        <f>F9</f>
        <v>0</v>
      </c>
      <c r="G8" s="22">
        <f t="shared" si="0"/>
        <v>34587522</v>
      </c>
      <c r="H8" s="3"/>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s="16" customFormat="1" ht="31.5">
      <c r="A9" s="23" t="s">
        <v>14</v>
      </c>
      <c r="B9" s="24" t="s">
        <v>13</v>
      </c>
      <c r="C9" s="24" t="s">
        <v>15</v>
      </c>
      <c r="D9" s="24"/>
      <c r="E9" s="25">
        <f>SUM(E10,E12,E14)</f>
        <v>34587522</v>
      </c>
      <c r="F9" s="25">
        <f>SUM(F10,F12,F14)</f>
        <v>0</v>
      </c>
      <c r="G9" s="25">
        <f t="shared" si="0"/>
        <v>34587522</v>
      </c>
      <c r="H9" s="3"/>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s="16" customFormat="1" ht="69" customHeight="1">
      <c r="A10" s="23" t="s">
        <v>16</v>
      </c>
      <c r="B10" s="24" t="s">
        <v>13</v>
      </c>
      <c r="C10" s="26" t="s">
        <v>15</v>
      </c>
      <c r="D10" s="24" t="s">
        <v>17</v>
      </c>
      <c r="E10" s="27">
        <f>E11</f>
        <v>30642522</v>
      </c>
      <c r="F10" s="27">
        <f>F11</f>
        <v>0</v>
      </c>
      <c r="G10" s="25">
        <f t="shared" si="0"/>
        <v>30642522</v>
      </c>
      <c r="H10" s="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s="16" customFormat="1" ht="31.5">
      <c r="A11" s="23" t="s">
        <v>18</v>
      </c>
      <c r="B11" s="24" t="s">
        <v>13</v>
      </c>
      <c r="C11" s="26" t="s">
        <v>15</v>
      </c>
      <c r="D11" s="24" t="s">
        <v>19</v>
      </c>
      <c r="E11" s="27">
        <v>30642522</v>
      </c>
      <c r="F11" s="27">
        <v>0</v>
      </c>
      <c r="G11" s="25">
        <f t="shared" si="0"/>
        <v>30642522</v>
      </c>
      <c r="H11" s="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s="16" customFormat="1" ht="31.5">
      <c r="A12" s="28" t="s">
        <v>20</v>
      </c>
      <c r="B12" s="24" t="s">
        <v>13</v>
      </c>
      <c r="C12" s="26" t="s">
        <v>15</v>
      </c>
      <c r="D12" s="24" t="s">
        <v>21</v>
      </c>
      <c r="E12" s="27">
        <f>E13</f>
        <v>3935000</v>
      </c>
      <c r="F12" s="27">
        <f>F13</f>
        <v>-15000</v>
      </c>
      <c r="G12" s="25">
        <f t="shared" si="0"/>
        <v>3920000</v>
      </c>
      <c r="H12" s="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s="16" customFormat="1" ht="31.5">
      <c r="A13" s="28" t="s">
        <v>22</v>
      </c>
      <c r="B13" s="24" t="s">
        <v>13</v>
      </c>
      <c r="C13" s="26" t="s">
        <v>15</v>
      </c>
      <c r="D13" s="24" t="s">
        <v>23</v>
      </c>
      <c r="E13" s="27">
        <v>3935000</v>
      </c>
      <c r="F13" s="27">
        <v>-15000</v>
      </c>
      <c r="G13" s="25">
        <f t="shared" si="0"/>
        <v>3920000</v>
      </c>
      <c r="H13" s="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s="16" customFormat="1" ht="15.75">
      <c r="A14" s="28" t="s">
        <v>24</v>
      </c>
      <c r="B14" s="24" t="s">
        <v>13</v>
      </c>
      <c r="C14" s="26" t="s">
        <v>15</v>
      </c>
      <c r="D14" s="24" t="s">
        <v>25</v>
      </c>
      <c r="E14" s="27">
        <f>E15</f>
        <v>10000</v>
      </c>
      <c r="F14" s="27">
        <f>F15</f>
        <v>15000</v>
      </c>
      <c r="G14" s="25">
        <f t="shared" si="0"/>
        <v>25000</v>
      </c>
      <c r="H14" s="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s="16" customFormat="1" ht="15.75">
      <c r="A15" s="28" t="s">
        <v>26</v>
      </c>
      <c r="B15" s="24" t="s">
        <v>13</v>
      </c>
      <c r="C15" s="26" t="s">
        <v>15</v>
      </c>
      <c r="D15" s="24" t="s">
        <v>27</v>
      </c>
      <c r="E15" s="27">
        <v>10000</v>
      </c>
      <c r="F15" s="27">
        <v>15000</v>
      </c>
      <c r="G15" s="25">
        <f t="shared" si="0"/>
        <v>25000</v>
      </c>
      <c r="H15" s="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s="16" customFormat="1" ht="63">
      <c r="A16" s="20" t="s">
        <v>28</v>
      </c>
      <c r="B16" s="21" t="s">
        <v>29</v>
      </c>
      <c r="C16" s="21"/>
      <c r="D16" s="21"/>
      <c r="E16" s="22">
        <f>E17</f>
        <v>211693602</v>
      </c>
      <c r="F16" s="22">
        <f>F17</f>
        <v>4140508</v>
      </c>
      <c r="G16" s="22">
        <f t="shared" si="0"/>
        <v>215834110</v>
      </c>
      <c r="H16" s="29"/>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s="16" customFormat="1" ht="15.75">
      <c r="A17" s="30" t="s">
        <v>30</v>
      </c>
      <c r="B17" s="24" t="s">
        <v>29</v>
      </c>
      <c r="C17" s="26" t="s">
        <v>31</v>
      </c>
      <c r="D17" s="21"/>
      <c r="E17" s="25">
        <f>SUM(E18)</f>
        <v>211693602</v>
      </c>
      <c r="F17" s="25">
        <f>SUM(F18)</f>
        <v>4140508</v>
      </c>
      <c r="G17" s="25">
        <f t="shared" si="0"/>
        <v>215834110</v>
      </c>
      <c r="H17" s="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s="3" customFormat="1" ht="31.5">
      <c r="A18" s="31" t="s">
        <v>32</v>
      </c>
      <c r="B18" s="24" t="s">
        <v>29</v>
      </c>
      <c r="C18" s="26" t="s">
        <v>33</v>
      </c>
      <c r="D18" s="26"/>
      <c r="E18" s="27">
        <f>SUM(E22,E25,E30,E37,E19)</f>
        <v>211693602</v>
      </c>
      <c r="F18" s="27">
        <f>SUM(F22,F25,F30,F37,F19)</f>
        <v>4140508</v>
      </c>
      <c r="G18" s="25">
        <f t="shared" si="0"/>
        <v>215834110</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s="3" customFormat="1" ht="50.25" customHeight="1">
      <c r="A19" s="31" t="s">
        <v>34</v>
      </c>
      <c r="B19" s="33" t="s">
        <v>29</v>
      </c>
      <c r="C19" s="26" t="s">
        <v>35</v>
      </c>
      <c r="D19" s="26"/>
      <c r="E19" s="27">
        <f>E20</f>
        <v>0</v>
      </c>
      <c r="F19" s="27">
        <f>F20</f>
        <v>2140508</v>
      </c>
      <c r="G19" s="25">
        <f t="shared" si="0"/>
        <v>2140508</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s="3" customFormat="1" ht="72" customHeight="1">
      <c r="A20" s="34" t="s">
        <v>16</v>
      </c>
      <c r="B20" s="33" t="s">
        <v>29</v>
      </c>
      <c r="C20" s="26" t="s">
        <v>35</v>
      </c>
      <c r="D20" s="33" t="s">
        <v>17</v>
      </c>
      <c r="E20" s="27">
        <f>E21</f>
        <v>0</v>
      </c>
      <c r="F20" s="27">
        <f>F21</f>
        <v>2140508</v>
      </c>
      <c r="G20" s="25">
        <f t="shared" si="0"/>
        <v>2140508</v>
      </c>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s="3" customFormat="1" ht="31.5">
      <c r="A21" s="34" t="s">
        <v>18</v>
      </c>
      <c r="B21" s="33" t="s">
        <v>29</v>
      </c>
      <c r="C21" s="26" t="s">
        <v>35</v>
      </c>
      <c r="D21" s="33" t="s">
        <v>19</v>
      </c>
      <c r="E21" s="27">
        <v>0</v>
      </c>
      <c r="F21" s="27">
        <v>2140508</v>
      </c>
      <c r="G21" s="25">
        <f t="shared" si="0"/>
        <v>2140508</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s="38" customFormat="1" ht="15.75">
      <c r="A22" s="35" t="s">
        <v>36</v>
      </c>
      <c r="B22" s="33" t="s">
        <v>29</v>
      </c>
      <c r="C22" s="36" t="s">
        <v>37</v>
      </c>
      <c r="D22" s="33"/>
      <c r="E22" s="37">
        <f>E23</f>
        <v>425278</v>
      </c>
      <c r="F22" s="37">
        <f>F23</f>
        <v>0</v>
      </c>
      <c r="G22" s="25">
        <f t="shared" si="0"/>
        <v>425278</v>
      </c>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1:34" s="38" customFormat="1" ht="31.5">
      <c r="A23" s="35" t="s">
        <v>20</v>
      </c>
      <c r="B23" s="33" t="s">
        <v>29</v>
      </c>
      <c r="C23" s="36" t="s">
        <v>37</v>
      </c>
      <c r="D23" s="33" t="s">
        <v>21</v>
      </c>
      <c r="E23" s="40">
        <f>E24</f>
        <v>425278</v>
      </c>
      <c r="F23" s="40">
        <f>F24</f>
        <v>0</v>
      </c>
      <c r="G23" s="25">
        <f t="shared" si="0"/>
        <v>425278</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row>
    <row r="24" spans="1:34" s="38" customFormat="1" ht="31.5">
      <c r="A24" s="35" t="s">
        <v>22</v>
      </c>
      <c r="B24" s="33" t="s">
        <v>29</v>
      </c>
      <c r="C24" s="36" t="s">
        <v>37</v>
      </c>
      <c r="D24" s="33" t="s">
        <v>23</v>
      </c>
      <c r="E24" s="40">
        <v>425278</v>
      </c>
      <c r="F24" s="40">
        <v>0</v>
      </c>
      <c r="G24" s="25">
        <f t="shared" si="0"/>
        <v>425278</v>
      </c>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row>
    <row r="25" spans="1:34" s="38" customFormat="1" ht="31.5">
      <c r="A25" s="35" t="s">
        <v>38</v>
      </c>
      <c r="B25" s="33" t="s">
        <v>29</v>
      </c>
      <c r="C25" s="36" t="s">
        <v>39</v>
      </c>
      <c r="D25" s="33"/>
      <c r="E25" s="40">
        <f>SUM(E26,E28)</f>
        <v>6332157</v>
      </c>
      <c r="F25" s="40">
        <f>SUM(F26,F28)</f>
        <v>0</v>
      </c>
      <c r="G25" s="25">
        <f t="shared" si="0"/>
        <v>6332157</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row>
    <row r="26" spans="1:34" s="38" customFormat="1" ht="68.25" customHeight="1">
      <c r="A26" s="34" t="s">
        <v>16</v>
      </c>
      <c r="B26" s="33" t="s">
        <v>29</v>
      </c>
      <c r="C26" s="36" t="s">
        <v>39</v>
      </c>
      <c r="D26" s="33" t="s">
        <v>17</v>
      </c>
      <c r="E26" s="40">
        <f>E27</f>
        <v>5797000</v>
      </c>
      <c r="F26" s="40">
        <f>F27</f>
        <v>0</v>
      </c>
      <c r="G26" s="25">
        <f t="shared" si="0"/>
        <v>5797000</v>
      </c>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s="42" customFormat="1" ht="31.5">
      <c r="A27" s="34" t="s">
        <v>18</v>
      </c>
      <c r="B27" s="33" t="s">
        <v>29</v>
      </c>
      <c r="C27" s="36" t="s">
        <v>39</v>
      </c>
      <c r="D27" s="33" t="s">
        <v>19</v>
      </c>
      <c r="E27" s="40">
        <v>5797000</v>
      </c>
      <c r="F27" s="40">
        <v>0</v>
      </c>
      <c r="G27" s="25">
        <f t="shared" si="0"/>
        <v>5797000</v>
      </c>
      <c r="H27" s="38"/>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s="44" customFormat="1" ht="31.5">
      <c r="A28" s="35" t="s">
        <v>20</v>
      </c>
      <c r="B28" s="33" t="s">
        <v>29</v>
      </c>
      <c r="C28" s="36" t="s">
        <v>39</v>
      </c>
      <c r="D28" s="33" t="s">
        <v>21</v>
      </c>
      <c r="E28" s="37">
        <f>E29</f>
        <v>535157</v>
      </c>
      <c r="F28" s="37">
        <f>F29</f>
        <v>0</v>
      </c>
      <c r="G28" s="25">
        <f t="shared" si="0"/>
        <v>535157</v>
      </c>
      <c r="H28" s="38"/>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row>
    <row r="29" spans="1:34" s="44" customFormat="1" ht="31.5">
      <c r="A29" s="35" t="s">
        <v>22</v>
      </c>
      <c r="B29" s="33" t="s">
        <v>29</v>
      </c>
      <c r="C29" s="36" t="s">
        <v>39</v>
      </c>
      <c r="D29" s="33" t="s">
        <v>23</v>
      </c>
      <c r="E29" s="37">
        <v>535157</v>
      </c>
      <c r="F29" s="37">
        <v>0</v>
      </c>
      <c r="G29" s="25">
        <f t="shared" si="0"/>
        <v>535157</v>
      </c>
      <c r="H29" s="38"/>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row>
    <row r="30" spans="1:34" s="16" customFormat="1" ht="38.25" customHeight="1">
      <c r="A30" s="31" t="s">
        <v>40</v>
      </c>
      <c r="B30" s="24" t="s">
        <v>29</v>
      </c>
      <c r="C30" s="26" t="s">
        <v>41</v>
      </c>
      <c r="D30" s="26"/>
      <c r="E30" s="27">
        <f>SUM(E31,E33,E35)</f>
        <v>179666667</v>
      </c>
      <c r="F30" s="27">
        <f>SUM(F31,F33,F35)</f>
        <v>0</v>
      </c>
      <c r="G30" s="25">
        <f t="shared" si="0"/>
        <v>179666667</v>
      </c>
      <c r="H30" s="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row>
    <row r="31" spans="1:34" s="16" customFormat="1" ht="63" customHeight="1">
      <c r="A31" s="23" t="s">
        <v>16</v>
      </c>
      <c r="B31" s="24" t="s">
        <v>29</v>
      </c>
      <c r="C31" s="26" t="s">
        <v>41</v>
      </c>
      <c r="D31" s="24" t="s">
        <v>17</v>
      </c>
      <c r="E31" s="27">
        <f>E32</f>
        <v>167700000</v>
      </c>
      <c r="F31" s="27">
        <f>F32</f>
        <v>0</v>
      </c>
      <c r="G31" s="25">
        <f t="shared" si="0"/>
        <v>167700000</v>
      </c>
      <c r="H31" s="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4" s="16" customFormat="1" ht="31.5">
      <c r="A32" s="23" t="s">
        <v>18</v>
      </c>
      <c r="B32" s="24" t="s">
        <v>29</v>
      </c>
      <c r="C32" s="26" t="s">
        <v>41</v>
      </c>
      <c r="D32" s="24" t="s">
        <v>19</v>
      </c>
      <c r="E32" s="27">
        <v>167700000</v>
      </c>
      <c r="F32" s="27"/>
      <c r="G32" s="25">
        <f t="shared" si="0"/>
        <v>167700000</v>
      </c>
      <c r="H32" s="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34" s="16" customFormat="1" ht="31.5">
      <c r="A33" s="28" t="s">
        <v>20</v>
      </c>
      <c r="B33" s="24" t="s">
        <v>29</v>
      </c>
      <c r="C33" s="26" t="s">
        <v>41</v>
      </c>
      <c r="D33" s="24" t="s">
        <v>21</v>
      </c>
      <c r="E33" s="27">
        <f>E34</f>
        <v>11866667</v>
      </c>
      <c r="F33" s="27">
        <f>F34</f>
        <v>0</v>
      </c>
      <c r="G33" s="25">
        <f t="shared" si="0"/>
        <v>11866667</v>
      </c>
      <c r="H33" s="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s="16" customFormat="1" ht="31.5">
      <c r="A34" s="28" t="s">
        <v>22</v>
      </c>
      <c r="B34" s="24" t="s">
        <v>29</v>
      </c>
      <c r="C34" s="26" t="s">
        <v>41</v>
      </c>
      <c r="D34" s="24" t="s">
        <v>23</v>
      </c>
      <c r="E34" s="27">
        <f>12200000-333333</f>
        <v>11866667</v>
      </c>
      <c r="F34" s="27">
        <v>0</v>
      </c>
      <c r="G34" s="25">
        <f t="shared" si="0"/>
        <v>11866667</v>
      </c>
      <c r="H34" s="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s="3" customFormat="1" ht="15.75">
      <c r="A35" s="28" t="s">
        <v>24</v>
      </c>
      <c r="B35" s="24" t="s">
        <v>29</v>
      </c>
      <c r="C35" s="26" t="s">
        <v>41</v>
      </c>
      <c r="D35" s="24" t="s">
        <v>25</v>
      </c>
      <c r="E35" s="27">
        <f>E36</f>
        <v>100000</v>
      </c>
      <c r="F35" s="27">
        <f>F36</f>
        <v>0</v>
      </c>
      <c r="G35" s="25">
        <f t="shared" si="0"/>
        <v>100000</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1:34" s="16" customFormat="1" ht="15.75">
      <c r="A36" s="28" t="s">
        <v>26</v>
      </c>
      <c r="B36" s="24" t="s">
        <v>29</v>
      </c>
      <c r="C36" s="26" t="s">
        <v>41</v>
      </c>
      <c r="D36" s="24" t="s">
        <v>27</v>
      </c>
      <c r="E36" s="27">
        <v>100000</v>
      </c>
      <c r="F36" s="27">
        <v>0</v>
      </c>
      <c r="G36" s="25">
        <f t="shared" si="0"/>
        <v>100000</v>
      </c>
      <c r="H36" s="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s="16" customFormat="1" ht="37.5" customHeight="1">
      <c r="A37" s="28" t="s">
        <v>42</v>
      </c>
      <c r="B37" s="24" t="s">
        <v>29</v>
      </c>
      <c r="C37" s="26" t="s">
        <v>43</v>
      </c>
      <c r="D37" s="26"/>
      <c r="E37" s="27">
        <f>E38+E40+E42</f>
        <v>25269500</v>
      </c>
      <c r="F37" s="27">
        <f>F38+F40+F42</f>
        <v>2000000</v>
      </c>
      <c r="G37" s="25">
        <f t="shared" si="0"/>
        <v>27269500</v>
      </c>
      <c r="H37" s="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s="16" customFormat="1" ht="78.75">
      <c r="A38" s="23" t="s">
        <v>16</v>
      </c>
      <c r="B38" s="24" t="s">
        <v>29</v>
      </c>
      <c r="C38" s="26" t="s">
        <v>43</v>
      </c>
      <c r="D38" s="26">
        <v>100</v>
      </c>
      <c r="E38" s="27">
        <f>E39</f>
        <v>17256000</v>
      </c>
      <c r="F38" s="27">
        <f>F39</f>
        <v>0</v>
      </c>
      <c r="G38" s="25">
        <f t="shared" si="0"/>
        <v>17256000</v>
      </c>
      <c r="H38" s="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4" s="16" customFormat="1" ht="31.5">
      <c r="A39" s="23" t="s">
        <v>18</v>
      </c>
      <c r="B39" s="24" t="s">
        <v>29</v>
      </c>
      <c r="C39" s="26" t="s">
        <v>43</v>
      </c>
      <c r="D39" s="26">
        <v>120</v>
      </c>
      <c r="E39" s="27">
        <v>17256000</v>
      </c>
      <c r="F39" s="27">
        <v>0</v>
      </c>
      <c r="G39" s="25">
        <f t="shared" si="0"/>
        <v>17256000</v>
      </c>
      <c r="H39" s="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s="16" customFormat="1" ht="31.5">
      <c r="A40" s="28" t="s">
        <v>20</v>
      </c>
      <c r="B40" s="24" t="s">
        <v>29</v>
      </c>
      <c r="C40" s="26" t="s">
        <v>43</v>
      </c>
      <c r="D40" s="26">
        <v>200</v>
      </c>
      <c r="E40" s="27">
        <f>E41</f>
        <v>8000000</v>
      </c>
      <c r="F40" s="27">
        <f>F41</f>
        <v>2000000</v>
      </c>
      <c r="G40" s="25">
        <f t="shared" si="0"/>
        <v>10000000</v>
      </c>
      <c r="H40" s="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spans="1:34" s="16" customFormat="1" ht="31.5">
      <c r="A41" s="28" t="s">
        <v>22</v>
      </c>
      <c r="B41" s="24" t="s">
        <v>29</v>
      </c>
      <c r="C41" s="26" t="s">
        <v>43</v>
      </c>
      <c r="D41" s="26">
        <v>240</v>
      </c>
      <c r="E41" s="27">
        <v>8000000</v>
      </c>
      <c r="F41" s="27">
        <v>2000000</v>
      </c>
      <c r="G41" s="25">
        <f t="shared" si="0"/>
        <v>10000000</v>
      </c>
      <c r="H41" s="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s="16" customFormat="1" ht="15.75">
      <c r="A42" s="28" t="s">
        <v>24</v>
      </c>
      <c r="B42" s="24" t="s">
        <v>29</v>
      </c>
      <c r="C42" s="26" t="s">
        <v>43</v>
      </c>
      <c r="D42" s="26">
        <v>800</v>
      </c>
      <c r="E42" s="27">
        <f>E43</f>
        <v>13500</v>
      </c>
      <c r="F42" s="27">
        <f>F43</f>
        <v>0</v>
      </c>
      <c r="G42" s="25">
        <f t="shared" si="0"/>
        <v>13500</v>
      </c>
      <c r="H42" s="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s="16" customFormat="1" ht="15.75">
      <c r="A43" s="28" t="s">
        <v>26</v>
      </c>
      <c r="B43" s="24" t="s">
        <v>29</v>
      </c>
      <c r="C43" s="26" t="s">
        <v>43</v>
      </c>
      <c r="D43" s="26">
        <v>850</v>
      </c>
      <c r="E43" s="27">
        <v>13500</v>
      </c>
      <c r="F43" s="27">
        <v>0</v>
      </c>
      <c r="G43" s="25">
        <f t="shared" si="0"/>
        <v>13500</v>
      </c>
      <c r="H43" s="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s="16" customFormat="1" ht="15.75">
      <c r="A44" s="45" t="s">
        <v>44</v>
      </c>
      <c r="B44" s="21" t="s">
        <v>45</v>
      </c>
      <c r="C44" s="46"/>
      <c r="D44" s="21"/>
      <c r="E44" s="47">
        <f aca="true" t="shared" si="1" ref="E44:F48">E45</f>
        <v>10994</v>
      </c>
      <c r="F44" s="47">
        <f t="shared" si="1"/>
        <v>0</v>
      </c>
      <c r="G44" s="22">
        <f t="shared" si="0"/>
        <v>10994</v>
      </c>
      <c r="H44" s="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row>
    <row r="45" spans="1:34" s="16" customFormat="1" ht="15.75">
      <c r="A45" s="30" t="s">
        <v>30</v>
      </c>
      <c r="B45" s="24" t="s">
        <v>45</v>
      </c>
      <c r="C45" s="26" t="s">
        <v>31</v>
      </c>
      <c r="D45" s="24"/>
      <c r="E45" s="27">
        <f t="shared" si="1"/>
        <v>10994</v>
      </c>
      <c r="F45" s="27">
        <f t="shared" si="1"/>
        <v>0</v>
      </c>
      <c r="G45" s="25">
        <f t="shared" si="0"/>
        <v>10994</v>
      </c>
      <c r="H45" s="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row>
    <row r="46" spans="1:34" s="16" customFormat="1" ht="47.25">
      <c r="A46" s="31" t="s">
        <v>46</v>
      </c>
      <c r="B46" s="24" t="s">
        <v>45</v>
      </c>
      <c r="C46" s="26" t="s">
        <v>47</v>
      </c>
      <c r="D46" s="26"/>
      <c r="E46" s="27">
        <f t="shared" si="1"/>
        <v>10994</v>
      </c>
      <c r="F46" s="27">
        <f t="shared" si="1"/>
        <v>0</v>
      </c>
      <c r="G46" s="25">
        <f t="shared" si="0"/>
        <v>10994</v>
      </c>
      <c r="H46" s="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1:34" s="44" customFormat="1" ht="47.25">
      <c r="A47" s="48" t="s">
        <v>48</v>
      </c>
      <c r="B47" s="33" t="s">
        <v>45</v>
      </c>
      <c r="C47" s="36" t="s">
        <v>49</v>
      </c>
      <c r="D47" s="33"/>
      <c r="E47" s="37">
        <f t="shared" si="1"/>
        <v>10994</v>
      </c>
      <c r="F47" s="37">
        <f t="shared" si="1"/>
        <v>0</v>
      </c>
      <c r="G47" s="25">
        <f t="shared" si="0"/>
        <v>10994</v>
      </c>
      <c r="H47" s="38"/>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s="44" customFormat="1" ht="31.5">
      <c r="A48" s="35" t="s">
        <v>50</v>
      </c>
      <c r="B48" s="33" t="s">
        <v>45</v>
      </c>
      <c r="C48" s="36" t="s">
        <v>49</v>
      </c>
      <c r="D48" s="33" t="s">
        <v>21</v>
      </c>
      <c r="E48" s="37">
        <f t="shared" si="1"/>
        <v>10994</v>
      </c>
      <c r="F48" s="37">
        <f t="shared" si="1"/>
        <v>0</v>
      </c>
      <c r="G48" s="25">
        <f t="shared" si="0"/>
        <v>10994</v>
      </c>
      <c r="H48" s="38"/>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s="44" customFormat="1" ht="31.5">
      <c r="A49" s="35" t="s">
        <v>22</v>
      </c>
      <c r="B49" s="33" t="s">
        <v>45</v>
      </c>
      <c r="C49" s="36" t="s">
        <v>49</v>
      </c>
      <c r="D49" s="33" t="s">
        <v>23</v>
      </c>
      <c r="E49" s="37">
        <v>10994</v>
      </c>
      <c r="F49" s="37">
        <v>0</v>
      </c>
      <c r="G49" s="25">
        <f t="shared" si="0"/>
        <v>10994</v>
      </c>
      <c r="H49" s="38"/>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s="44" customFormat="1" ht="47.25">
      <c r="A50" s="20" t="s">
        <v>51</v>
      </c>
      <c r="B50" s="21" t="s">
        <v>52</v>
      </c>
      <c r="C50" s="26"/>
      <c r="D50" s="26"/>
      <c r="E50" s="47">
        <f>E51</f>
        <v>44819000</v>
      </c>
      <c r="F50" s="47">
        <f>F51</f>
        <v>0</v>
      </c>
      <c r="G50" s="22">
        <f t="shared" si="0"/>
        <v>44819000</v>
      </c>
      <c r="H50" s="38"/>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s="44" customFormat="1" ht="15.75">
      <c r="A51" s="30" t="s">
        <v>30</v>
      </c>
      <c r="B51" s="24" t="s">
        <v>52</v>
      </c>
      <c r="C51" s="26" t="s">
        <v>31</v>
      </c>
      <c r="D51" s="21"/>
      <c r="E51" s="25">
        <f>E52</f>
        <v>44819000</v>
      </c>
      <c r="F51" s="25">
        <f>F52</f>
        <v>0</v>
      </c>
      <c r="G51" s="25">
        <f t="shared" si="0"/>
        <v>44819000</v>
      </c>
      <c r="H51" s="38"/>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s="44" customFormat="1" ht="31.5">
      <c r="A52" s="31" t="s">
        <v>32</v>
      </c>
      <c r="B52" s="24" t="s">
        <v>52</v>
      </c>
      <c r="C52" s="26" t="s">
        <v>33</v>
      </c>
      <c r="D52" s="26"/>
      <c r="E52" s="27">
        <f>SUM(E53,E60)</f>
        <v>44819000</v>
      </c>
      <c r="F52" s="27">
        <f>SUM(F53,F60)</f>
        <v>0</v>
      </c>
      <c r="G52" s="25">
        <f t="shared" si="0"/>
        <v>44819000</v>
      </c>
      <c r="H52" s="38"/>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s="44" customFormat="1" ht="31.5">
      <c r="A53" s="31" t="s">
        <v>53</v>
      </c>
      <c r="B53" s="24" t="s">
        <v>52</v>
      </c>
      <c r="C53" s="26" t="s">
        <v>54</v>
      </c>
      <c r="D53" s="26"/>
      <c r="E53" s="27">
        <f>SUM(E54,E56,E58)</f>
        <v>13559000</v>
      </c>
      <c r="F53" s="27">
        <f>SUM(F54,F56,F58)</f>
        <v>0</v>
      </c>
      <c r="G53" s="25">
        <f t="shared" si="0"/>
        <v>13559000</v>
      </c>
      <c r="H53" s="38"/>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s="44" customFormat="1" ht="78.75">
      <c r="A54" s="23" t="s">
        <v>16</v>
      </c>
      <c r="B54" s="24" t="s">
        <v>52</v>
      </c>
      <c r="C54" s="26" t="s">
        <v>54</v>
      </c>
      <c r="D54" s="24" t="s">
        <v>17</v>
      </c>
      <c r="E54" s="49">
        <f>E55</f>
        <v>10838000</v>
      </c>
      <c r="F54" s="49">
        <f>F55</f>
        <v>0</v>
      </c>
      <c r="G54" s="25">
        <f t="shared" si="0"/>
        <v>10838000</v>
      </c>
      <c r="H54" s="38"/>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s="44" customFormat="1" ht="31.5">
      <c r="A55" s="23" t="s">
        <v>18</v>
      </c>
      <c r="B55" s="24" t="s">
        <v>52</v>
      </c>
      <c r="C55" s="26" t="s">
        <v>54</v>
      </c>
      <c r="D55" s="24" t="s">
        <v>19</v>
      </c>
      <c r="E55" s="49">
        <v>10838000</v>
      </c>
      <c r="F55" s="49">
        <v>0</v>
      </c>
      <c r="G55" s="25">
        <f t="shared" si="0"/>
        <v>10838000</v>
      </c>
      <c r="H55" s="38"/>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s="44" customFormat="1" ht="31.5">
      <c r="A56" s="28" t="s">
        <v>20</v>
      </c>
      <c r="B56" s="24" t="s">
        <v>52</v>
      </c>
      <c r="C56" s="26" t="s">
        <v>54</v>
      </c>
      <c r="D56" s="24" t="s">
        <v>21</v>
      </c>
      <c r="E56" s="49">
        <f>E57</f>
        <v>2671000</v>
      </c>
      <c r="F56" s="49">
        <f>F57</f>
        <v>0</v>
      </c>
      <c r="G56" s="25">
        <f t="shared" si="0"/>
        <v>2671000</v>
      </c>
      <c r="H56" s="38"/>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s="44" customFormat="1" ht="31.5">
      <c r="A57" s="28" t="s">
        <v>22</v>
      </c>
      <c r="B57" s="24" t="s">
        <v>52</v>
      </c>
      <c r="C57" s="26" t="s">
        <v>54</v>
      </c>
      <c r="D57" s="24" t="s">
        <v>23</v>
      </c>
      <c r="E57" s="49">
        <v>2671000</v>
      </c>
      <c r="F57" s="49">
        <v>0</v>
      </c>
      <c r="G57" s="25">
        <f t="shared" si="0"/>
        <v>2671000</v>
      </c>
      <c r="H57" s="38"/>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s="44" customFormat="1" ht="15.75">
      <c r="A58" s="28" t="s">
        <v>24</v>
      </c>
      <c r="B58" s="24" t="s">
        <v>52</v>
      </c>
      <c r="C58" s="26" t="s">
        <v>54</v>
      </c>
      <c r="D58" s="24" t="s">
        <v>25</v>
      </c>
      <c r="E58" s="49">
        <f>E59</f>
        <v>50000</v>
      </c>
      <c r="F58" s="49">
        <f>F59</f>
        <v>0</v>
      </c>
      <c r="G58" s="25">
        <f t="shared" si="0"/>
        <v>50000</v>
      </c>
      <c r="H58" s="38"/>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s="44" customFormat="1" ht="15.75">
      <c r="A59" s="28" t="s">
        <v>26</v>
      </c>
      <c r="B59" s="24" t="s">
        <v>52</v>
      </c>
      <c r="C59" s="26" t="s">
        <v>54</v>
      </c>
      <c r="D59" s="24" t="s">
        <v>27</v>
      </c>
      <c r="E59" s="49">
        <v>50000</v>
      </c>
      <c r="F59" s="49">
        <v>0</v>
      </c>
      <c r="G59" s="25">
        <f t="shared" si="0"/>
        <v>50000</v>
      </c>
      <c r="H59" s="38"/>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s="44" customFormat="1" ht="31.5">
      <c r="A60" s="31" t="s">
        <v>55</v>
      </c>
      <c r="B60" s="24" t="s">
        <v>52</v>
      </c>
      <c r="C60" s="26" t="s">
        <v>56</v>
      </c>
      <c r="D60" s="26"/>
      <c r="E60" s="27">
        <f>SUM(E61,E63,E65)</f>
        <v>31260000</v>
      </c>
      <c r="F60" s="27">
        <f>SUM(F61,F63,F65)</f>
        <v>0</v>
      </c>
      <c r="G60" s="25">
        <f t="shared" si="0"/>
        <v>31260000</v>
      </c>
      <c r="H60" s="38"/>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s="44" customFormat="1" ht="78.75">
      <c r="A61" s="23" t="s">
        <v>16</v>
      </c>
      <c r="B61" s="24" t="s">
        <v>52</v>
      </c>
      <c r="C61" s="26" t="s">
        <v>56</v>
      </c>
      <c r="D61" s="24" t="s">
        <v>17</v>
      </c>
      <c r="E61" s="27">
        <f>E62</f>
        <v>27500000</v>
      </c>
      <c r="F61" s="27">
        <f>F62</f>
        <v>0</v>
      </c>
      <c r="G61" s="25">
        <f t="shared" si="0"/>
        <v>27500000</v>
      </c>
      <c r="H61" s="38"/>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s="44" customFormat="1" ht="31.5">
      <c r="A62" s="23" t="s">
        <v>18</v>
      </c>
      <c r="B62" s="24" t="s">
        <v>52</v>
      </c>
      <c r="C62" s="26" t="s">
        <v>56</v>
      </c>
      <c r="D62" s="24" t="s">
        <v>19</v>
      </c>
      <c r="E62" s="27">
        <v>27500000</v>
      </c>
      <c r="F62" s="27">
        <v>0</v>
      </c>
      <c r="G62" s="25">
        <f t="shared" si="0"/>
        <v>27500000</v>
      </c>
      <c r="H62" s="38"/>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s="44" customFormat="1" ht="31.5">
      <c r="A63" s="28" t="s">
        <v>20</v>
      </c>
      <c r="B63" s="24" t="s">
        <v>52</v>
      </c>
      <c r="C63" s="26" t="s">
        <v>56</v>
      </c>
      <c r="D63" s="24" t="s">
        <v>21</v>
      </c>
      <c r="E63" s="27">
        <f>E64</f>
        <v>3700000</v>
      </c>
      <c r="F63" s="27">
        <f>F64</f>
        <v>0</v>
      </c>
      <c r="G63" s="25">
        <f t="shared" si="0"/>
        <v>3700000</v>
      </c>
      <c r="H63" s="38"/>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s="44" customFormat="1" ht="31.5">
      <c r="A64" s="28" t="s">
        <v>22</v>
      </c>
      <c r="B64" s="24" t="s">
        <v>52</v>
      </c>
      <c r="C64" s="26" t="s">
        <v>56</v>
      </c>
      <c r="D64" s="24" t="s">
        <v>23</v>
      </c>
      <c r="E64" s="27">
        <v>3700000</v>
      </c>
      <c r="F64" s="27">
        <v>0</v>
      </c>
      <c r="G64" s="25">
        <f t="shared" si="0"/>
        <v>3700000</v>
      </c>
      <c r="H64" s="38"/>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row r="65" spans="1:34" s="44" customFormat="1" ht="15.75">
      <c r="A65" s="28" t="s">
        <v>24</v>
      </c>
      <c r="B65" s="24" t="s">
        <v>52</v>
      </c>
      <c r="C65" s="26" t="s">
        <v>56</v>
      </c>
      <c r="D65" s="24" t="s">
        <v>25</v>
      </c>
      <c r="E65" s="27">
        <f>E66</f>
        <v>60000</v>
      </c>
      <c r="F65" s="27">
        <f>F66</f>
        <v>0</v>
      </c>
      <c r="G65" s="25">
        <f t="shared" si="0"/>
        <v>60000</v>
      </c>
      <c r="H65" s="38"/>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row>
    <row r="66" spans="1:34" s="44" customFormat="1" ht="15.75">
      <c r="A66" s="28" t="s">
        <v>26</v>
      </c>
      <c r="B66" s="24" t="s">
        <v>52</v>
      </c>
      <c r="C66" s="26" t="s">
        <v>56</v>
      </c>
      <c r="D66" s="24" t="s">
        <v>27</v>
      </c>
      <c r="E66" s="27">
        <v>60000</v>
      </c>
      <c r="F66" s="27">
        <v>0</v>
      </c>
      <c r="G66" s="25">
        <f t="shared" si="0"/>
        <v>60000</v>
      </c>
      <c r="H66" s="38"/>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row>
    <row r="67" spans="1:34" s="44" customFormat="1" ht="15.75">
      <c r="A67" s="50" t="s">
        <v>57</v>
      </c>
      <c r="B67" s="51" t="s">
        <v>58</v>
      </c>
      <c r="C67" s="51"/>
      <c r="D67" s="51"/>
      <c r="E67" s="52">
        <f aca="true" t="shared" si="2" ref="E67:F71">E68</f>
        <v>0</v>
      </c>
      <c r="F67" s="52">
        <f t="shared" si="2"/>
        <v>578710</v>
      </c>
      <c r="G67" s="53">
        <f t="shared" si="0"/>
        <v>578710</v>
      </c>
      <c r="H67" s="38"/>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row>
    <row r="68" spans="1:34" s="44" customFormat="1" ht="15.75">
      <c r="A68" s="54" t="s">
        <v>30</v>
      </c>
      <c r="B68" s="55" t="s">
        <v>58</v>
      </c>
      <c r="C68" s="55" t="s">
        <v>31</v>
      </c>
      <c r="D68" s="55"/>
      <c r="E68" s="56">
        <f t="shared" si="2"/>
        <v>0</v>
      </c>
      <c r="F68" s="56">
        <f t="shared" si="2"/>
        <v>578710</v>
      </c>
      <c r="G68" s="57">
        <f t="shared" si="0"/>
        <v>578710</v>
      </c>
      <c r="H68" s="38"/>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s="44" customFormat="1" ht="31.5">
      <c r="A69" s="54" t="s">
        <v>59</v>
      </c>
      <c r="B69" s="55" t="s">
        <v>58</v>
      </c>
      <c r="C69" s="55" t="s">
        <v>60</v>
      </c>
      <c r="D69" s="55"/>
      <c r="E69" s="56">
        <f t="shared" si="2"/>
        <v>0</v>
      </c>
      <c r="F69" s="56">
        <f t="shared" si="2"/>
        <v>578710</v>
      </c>
      <c r="G69" s="57">
        <f t="shared" si="0"/>
        <v>578710</v>
      </c>
      <c r="H69" s="38"/>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s="44" customFormat="1" ht="31.5">
      <c r="A70" s="54" t="s">
        <v>61</v>
      </c>
      <c r="B70" s="55" t="s">
        <v>58</v>
      </c>
      <c r="C70" s="55" t="s">
        <v>62</v>
      </c>
      <c r="D70" s="55"/>
      <c r="E70" s="56">
        <f t="shared" si="2"/>
        <v>0</v>
      </c>
      <c r="F70" s="56">
        <f t="shared" si="2"/>
        <v>578710</v>
      </c>
      <c r="G70" s="57">
        <f t="shared" si="0"/>
        <v>578710</v>
      </c>
      <c r="H70" s="38"/>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s="44" customFormat="1" ht="15.75">
      <c r="A71" s="54" t="s">
        <v>24</v>
      </c>
      <c r="B71" s="55" t="s">
        <v>58</v>
      </c>
      <c r="C71" s="55" t="s">
        <v>62</v>
      </c>
      <c r="D71" s="55" t="s">
        <v>25</v>
      </c>
      <c r="E71" s="56">
        <f t="shared" si="2"/>
        <v>0</v>
      </c>
      <c r="F71" s="56">
        <f t="shared" si="2"/>
        <v>578710</v>
      </c>
      <c r="G71" s="57">
        <f aca="true" t="shared" si="3" ref="G71:G134">SUM(E71:F71)</f>
        <v>578710</v>
      </c>
      <c r="H71" s="38"/>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s="44" customFormat="1" ht="15.75">
      <c r="A72" s="54" t="s">
        <v>63</v>
      </c>
      <c r="B72" s="55" t="s">
        <v>58</v>
      </c>
      <c r="C72" s="55" t="s">
        <v>62</v>
      </c>
      <c r="D72" s="55" t="s">
        <v>64</v>
      </c>
      <c r="E72" s="56"/>
      <c r="F72" s="58">
        <v>578710</v>
      </c>
      <c r="G72" s="57">
        <f t="shared" si="3"/>
        <v>578710</v>
      </c>
      <c r="H72" s="38"/>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s="44" customFormat="1" ht="15.75">
      <c r="A73" s="20" t="s">
        <v>65</v>
      </c>
      <c r="B73" s="21" t="s">
        <v>66</v>
      </c>
      <c r="C73" s="26"/>
      <c r="D73" s="26"/>
      <c r="E73" s="47">
        <f>E74</f>
        <v>10000000</v>
      </c>
      <c r="F73" s="47">
        <f>F74</f>
        <v>0</v>
      </c>
      <c r="G73" s="22">
        <f t="shared" si="3"/>
        <v>10000000</v>
      </c>
      <c r="H73" s="38"/>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s="44" customFormat="1" ht="15.75">
      <c r="A74" s="30" t="s">
        <v>30</v>
      </c>
      <c r="B74" s="24" t="s">
        <v>66</v>
      </c>
      <c r="C74" s="26" t="s">
        <v>31</v>
      </c>
      <c r="D74" s="26"/>
      <c r="E74" s="27">
        <f>E75</f>
        <v>10000000</v>
      </c>
      <c r="F74" s="27">
        <f>F75</f>
        <v>0</v>
      </c>
      <c r="G74" s="25">
        <f t="shared" si="3"/>
        <v>10000000</v>
      </c>
      <c r="H74" s="38"/>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s="44" customFormat="1" ht="15.75">
      <c r="A75" s="31" t="s">
        <v>67</v>
      </c>
      <c r="B75" s="24" t="s">
        <v>66</v>
      </c>
      <c r="C75" s="26" t="s">
        <v>68</v>
      </c>
      <c r="D75" s="26"/>
      <c r="E75" s="27">
        <f>SUM(E76,E79)</f>
        <v>10000000</v>
      </c>
      <c r="F75" s="27">
        <f>SUM(F76,F79)</f>
        <v>0</v>
      </c>
      <c r="G75" s="25">
        <f t="shared" si="3"/>
        <v>10000000</v>
      </c>
      <c r="H75" s="38"/>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s="44" customFormat="1" ht="15.75">
      <c r="A76" s="31" t="s">
        <v>69</v>
      </c>
      <c r="B76" s="24" t="s">
        <v>66</v>
      </c>
      <c r="C76" s="26" t="s">
        <v>70</v>
      </c>
      <c r="D76" s="26"/>
      <c r="E76" s="27">
        <f>E77</f>
        <v>7200000</v>
      </c>
      <c r="F76" s="27">
        <f>F77</f>
        <v>0</v>
      </c>
      <c r="G76" s="25">
        <f t="shared" si="3"/>
        <v>7200000</v>
      </c>
      <c r="H76" s="38"/>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s="44" customFormat="1" ht="15.75">
      <c r="A77" s="28" t="s">
        <v>24</v>
      </c>
      <c r="B77" s="24" t="s">
        <v>66</v>
      </c>
      <c r="C77" s="26" t="s">
        <v>70</v>
      </c>
      <c r="D77" s="26">
        <v>800</v>
      </c>
      <c r="E77" s="27">
        <f>E78</f>
        <v>7200000</v>
      </c>
      <c r="F77" s="27">
        <f>F78</f>
        <v>0</v>
      </c>
      <c r="G77" s="25">
        <f t="shared" si="3"/>
        <v>7200000</v>
      </c>
      <c r="H77" s="38"/>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s="44" customFormat="1" ht="15.75">
      <c r="A78" s="31" t="s">
        <v>71</v>
      </c>
      <c r="B78" s="24" t="s">
        <v>66</v>
      </c>
      <c r="C78" s="26" t="s">
        <v>70</v>
      </c>
      <c r="D78" s="26">
        <v>870</v>
      </c>
      <c r="E78" s="27">
        <v>7200000</v>
      </c>
      <c r="F78" s="27">
        <v>0</v>
      </c>
      <c r="G78" s="25">
        <f t="shared" si="3"/>
        <v>7200000</v>
      </c>
      <c r="H78" s="38"/>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row>
    <row r="79" spans="1:34" s="44" customFormat="1" ht="47.25">
      <c r="A79" s="31" t="s">
        <v>72</v>
      </c>
      <c r="B79" s="24" t="s">
        <v>66</v>
      </c>
      <c r="C79" s="26" t="s">
        <v>73</v>
      </c>
      <c r="D79" s="26"/>
      <c r="E79" s="27">
        <f>E80</f>
        <v>2800000</v>
      </c>
      <c r="F79" s="27">
        <f>F80</f>
        <v>0</v>
      </c>
      <c r="G79" s="25">
        <f t="shared" si="3"/>
        <v>2800000</v>
      </c>
      <c r="H79" s="38"/>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row>
    <row r="80" spans="1:34" s="44" customFormat="1" ht="15.75">
      <c r="A80" s="28" t="s">
        <v>24</v>
      </c>
      <c r="B80" s="24" t="s">
        <v>66</v>
      </c>
      <c r="C80" s="26" t="s">
        <v>73</v>
      </c>
      <c r="D80" s="26">
        <v>800</v>
      </c>
      <c r="E80" s="27">
        <f>E81</f>
        <v>2800000</v>
      </c>
      <c r="F80" s="27">
        <f>F81</f>
        <v>0</v>
      </c>
      <c r="G80" s="25">
        <f t="shared" si="3"/>
        <v>2800000</v>
      </c>
      <c r="H80" s="38"/>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row>
    <row r="81" spans="1:34" s="44" customFormat="1" ht="15.75">
      <c r="A81" s="31" t="s">
        <v>71</v>
      </c>
      <c r="B81" s="24" t="s">
        <v>66</v>
      </c>
      <c r="C81" s="26" t="s">
        <v>73</v>
      </c>
      <c r="D81" s="26">
        <v>870</v>
      </c>
      <c r="E81" s="27">
        <v>2800000</v>
      </c>
      <c r="F81" s="27">
        <v>0</v>
      </c>
      <c r="G81" s="25">
        <f t="shared" si="3"/>
        <v>2800000</v>
      </c>
      <c r="H81" s="38"/>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row>
    <row r="82" spans="1:34" s="16" customFormat="1" ht="15.75">
      <c r="A82" s="20" t="s">
        <v>74</v>
      </c>
      <c r="B82" s="21" t="s">
        <v>75</v>
      </c>
      <c r="C82" s="59"/>
      <c r="D82" s="59"/>
      <c r="E82" s="47">
        <f>SUM(E83,E89,E105,E116,E141,E101)</f>
        <v>133263529</v>
      </c>
      <c r="F82" s="47">
        <f>SUM(F83,F89,F105,F116,F141,F101)</f>
        <v>19262296.15</v>
      </c>
      <c r="G82" s="22">
        <f t="shared" si="3"/>
        <v>152525825.15</v>
      </c>
      <c r="H82" s="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row>
    <row r="83" spans="1:34" s="16" customFormat="1" ht="47.25">
      <c r="A83" s="31" t="s">
        <v>76</v>
      </c>
      <c r="B83" s="60" t="s">
        <v>75</v>
      </c>
      <c r="C83" s="26" t="s">
        <v>77</v>
      </c>
      <c r="D83" s="59"/>
      <c r="E83" s="27">
        <f>SUM(E84)</f>
        <v>9000000</v>
      </c>
      <c r="F83" s="27">
        <f>SUM(F84)</f>
        <v>0</v>
      </c>
      <c r="G83" s="25">
        <f t="shared" si="3"/>
        <v>9000000</v>
      </c>
      <c r="H83" s="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row>
    <row r="84" spans="1:34" s="16" customFormat="1" ht="31.5">
      <c r="A84" s="31" t="s">
        <v>78</v>
      </c>
      <c r="B84" s="60" t="s">
        <v>75</v>
      </c>
      <c r="C84" s="26" t="s">
        <v>79</v>
      </c>
      <c r="D84" s="59"/>
      <c r="E84" s="27">
        <f>SUM(E87,E85)</f>
        <v>9000000</v>
      </c>
      <c r="F84" s="27">
        <f>SUM(F87,F85)</f>
        <v>0</v>
      </c>
      <c r="G84" s="25">
        <f t="shared" si="3"/>
        <v>9000000</v>
      </c>
      <c r="H84" s="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row>
    <row r="85" spans="1:34" s="16" customFormat="1" ht="31.5">
      <c r="A85" s="28" t="s">
        <v>20</v>
      </c>
      <c r="B85" s="60" t="s">
        <v>75</v>
      </c>
      <c r="C85" s="26" t="s">
        <v>79</v>
      </c>
      <c r="D85" s="24" t="s">
        <v>21</v>
      </c>
      <c r="E85" s="27">
        <f>E86</f>
        <v>0</v>
      </c>
      <c r="F85" s="27">
        <f>F86</f>
        <v>9000000</v>
      </c>
      <c r="G85" s="25">
        <f t="shared" si="3"/>
        <v>9000000</v>
      </c>
      <c r="H85" s="3"/>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row>
    <row r="86" spans="1:34" s="16" customFormat="1" ht="31.5">
      <c r="A86" s="28" t="s">
        <v>22</v>
      </c>
      <c r="B86" s="60" t="s">
        <v>75</v>
      </c>
      <c r="C86" s="26" t="s">
        <v>79</v>
      </c>
      <c r="D86" s="24" t="s">
        <v>23</v>
      </c>
      <c r="E86" s="27">
        <v>0</v>
      </c>
      <c r="F86" s="27">
        <v>9000000</v>
      </c>
      <c r="G86" s="25">
        <f t="shared" si="3"/>
        <v>9000000</v>
      </c>
      <c r="H86" s="3"/>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row>
    <row r="87" spans="1:34" s="16" customFormat="1" ht="15.75">
      <c r="A87" s="31" t="s">
        <v>24</v>
      </c>
      <c r="B87" s="60" t="s">
        <v>75</v>
      </c>
      <c r="C87" s="26" t="s">
        <v>79</v>
      </c>
      <c r="D87" s="24" t="s">
        <v>25</v>
      </c>
      <c r="E87" s="27">
        <f>SUM(E88)</f>
        <v>9000000</v>
      </c>
      <c r="F87" s="27">
        <f>SUM(F88)</f>
        <v>-9000000</v>
      </c>
      <c r="G87" s="25">
        <f t="shared" si="3"/>
        <v>0</v>
      </c>
      <c r="H87" s="3"/>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row>
    <row r="88" spans="1:34" s="16" customFormat="1" ht="15.75">
      <c r="A88" s="31" t="s">
        <v>63</v>
      </c>
      <c r="B88" s="60" t="s">
        <v>75</v>
      </c>
      <c r="C88" s="26" t="s">
        <v>79</v>
      </c>
      <c r="D88" s="24" t="s">
        <v>64</v>
      </c>
      <c r="E88" s="27">
        <v>9000000</v>
      </c>
      <c r="F88" s="27">
        <v>-9000000</v>
      </c>
      <c r="G88" s="25">
        <f t="shared" si="3"/>
        <v>0</v>
      </c>
      <c r="H88" s="3"/>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row>
    <row r="89" spans="1:34" s="16" customFormat="1" ht="25.5" customHeight="1">
      <c r="A89" s="31" t="s">
        <v>80</v>
      </c>
      <c r="B89" s="24" t="s">
        <v>75</v>
      </c>
      <c r="C89" s="26" t="s">
        <v>81</v>
      </c>
      <c r="D89" s="26"/>
      <c r="E89" s="27">
        <f>SUM(E90)</f>
        <v>47471350</v>
      </c>
      <c r="F89" s="27">
        <f>SUM(F90)</f>
        <v>4738523.54</v>
      </c>
      <c r="G89" s="25">
        <f t="shared" si="3"/>
        <v>52209873.54</v>
      </c>
      <c r="H89" s="3"/>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row>
    <row r="90" spans="1:34" s="16" customFormat="1" ht="15.75">
      <c r="A90" s="61" t="s">
        <v>82</v>
      </c>
      <c r="B90" s="24" t="s">
        <v>75</v>
      </c>
      <c r="C90" s="26" t="s">
        <v>83</v>
      </c>
      <c r="D90" s="26"/>
      <c r="E90" s="27">
        <f>SUM(E91,E98)</f>
        <v>47471350</v>
      </c>
      <c r="F90" s="27">
        <f>SUM(F91,F98)</f>
        <v>4738523.54</v>
      </c>
      <c r="G90" s="25">
        <f t="shared" si="3"/>
        <v>52209873.54</v>
      </c>
      <c r="H90" s="3"/>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row>
    <row r="91" spans="1:34" s="16" customFormat="1" ht="15.75">
      <c r="A91" s="61" t="s">
        <v>84</v>
      </c>
      <c r="B91" s="24" t="s">
        <v>75</v>
      </c>
      <c r="C91" s="26" t="s">
        <v>85</v>
      </c>
      <c r="D91" s="26"/>
      <c r="E91" s="27">
        <f>SUM(E92,E94,E96)</f>
        <v>45471350</v>
      </c>
      <c r="F91" s="27">
        <f>SUM(F92,F94,F96)</f>
        <v>1742533.34</v>
      </c>
      <c r="G91" s="25">
        <f t="shared" si="3"/>
        <v>47213883.34</v>
      </c>
      <c r="H91" s="3"/>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4" s="3" customFormat="1" ht="66" customHeight="1">
      <c r="A92" s="23" t="s">
        <v>16</v>
      </c>
      <c r="B92" s="24" t="s">
        <v>75</v>
      </c>
      <c r="C92" s="26" t="s">
        <v>85</v>
      </c>
      <c r="D92" s="26">
        <v>100</v>
      </c>
      <c r="E92" s="27">
        <f>E93</f>
        <v>16500000</v>
      </c>
      <c r="F92" s="27">
        <f>F93</f>
        <v>0</v>
      </c>
      <c r="G92" s="25">
        <f t="shared" si="3"/>
        <v>16500000</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row>
    <row r="93" spans="1:34" s="16" customFormat="1" ht="15.75">
      <c r="A93" s="23" t="s">
        <v>86</v>
      </c>
      <c r="B93" s="24" t="s">
        <v>75</v>
      </c>
      <c r="C93" s="26" t="s">
        <v>85</v>
      </c>
      <c r="D93" s="26">
        <v>110</v>
      </c>
      <c r="E93" s="27">
        <v>16500000</v>
      </c>
      <c r="F93" s="27"/>
      <c r="G93" s="25">
        <f t="shared" si="3"/>
        <v>16500000</v>
      </c>
      <c r="H93" s="3"/>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row>
    <row r="94" spans="1:34" s="16" customFormat="1" ht="31.5">
      <c r="A94" s="28" t="s">
        <v>20</v>
      </c>
      <c r="B94" s="24" t="s">
        <v>75</v>
      </c>
      <c r="C94" s="26" t="s">
        <v>85</v>
      </c>
      <c r="D94" s="26">
        <v>200</v>
      </c>
      <c r="E94" s="27">
        <f>E95</f>
        <v>28771350</v>
      </c>
      <c r="F94" s="27">
        <f>F95</f>
        <v>1742533.34</v>
      </c>
      <c r="G94" s="25">
        <f t="shared" si="3"/>
        <v>30513883.34</v>
      </c>
      <c r="H94" s="3"/>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row>
    <row r="95" spans="1:34" s="16" customFormat="1" ht="31.5">
      <c r="A95" s="28" t="s">
        <v>22</v>
      </c>
      <c r="B95" s="24" t="s">
        <v>75</v>
      </c>
      <c r="C95" s="26" t="s">
        <v>85</v>
      </c>
      <c r="D95" s="26">
        <v>240</v>
      </c>
      <c r="E95" s="27">
        <v>28771350</v>
      </c>
      <c r="F95" s="27">
        <v>1742533.34</v>
      </c>
      <c r="G95" s="25">
        <f t="shared" si="3"/>
        <v>30513883.34</v>
      </c>
      <c r="H95" s="3"/>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row>
    <row r="96" spans="1:34" s="16" customFormat="1" ht="15.75">
      <c r="A96" s="28" t="s">
        <v>24</v>
      </c>
      <c r="B96" s="24" t="s">
        <v>75</v>
      </c>
      <c r="C96" s="26" t="s">
        <v>85</v>
      </c>
      <c r="D96" s="26">
        <v>800</v>
      </c>
      <c r="E96" s="27">
        <f>E97</f>
        <v>200000</v>
      </c>
      <c r="F96" s="27">
        <f>F97</f>
        <v>0</v>
      </c>
      <c r="G96" s="25">
        <f t="shared" si="3"/>
        <v>200000</v>
      </c>
      <c r="H96" s="3"/>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row>
    <row r="97" spans="1:34" s="16" customFormat="1" ht="15.75">
      <c r="A97" s="28" t="s">
        <v>26</v>
      </c>
      <c r="B97" s="24" t="s">
        <v>75</v>
      </c>
      <c r="C97" s="26" t="s">
        <v>85</v>
      </c>
      <c r="D97" s="26">
        <v>850</v>
      </c>
      <c r="E97" s="27">
        <v>200000</v>
      </c>
      <c r="F97" s="27">
        <v>0</v>
      </c>
      <c r="G97" s="25">
        <f t="shared" si="3"/>
        <v>200000</v>
      </c>
      <c r="H97" s="3"/>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row>
    <row r="98" spans="1:34" s="16" customFormat="1" ht="31.5">
      <c r="A98" s="61" t="s">
        <v>87</v>
      </c>
      <c r="B98" s="24" t="s">
        <v>75</v>
      </c>
      <c r="C98" s="26" t="s">
        <v>88</v>
      </c>
      <c r="D98" s="26"/>
      <c r="E98" s="27">
        <f>E99</f>
        <v>2000000</v>
      </c>
      <c r="F98" s="27">
        <f>F99</f>
        <v>2995990.2</v>
      </c>
      <c r="G98" s="25">
        <f t="shared" si="3"/>
        <v>4995990.2</v>
      </c>
      <c r="H98" s="3"/>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row>
    <row r="99" spans="1:34" s="16" customFormat="1" ht="31.5">
      <c r="A99" s="28" t="s">
        <v>20</v>
      </c>
      <c r="B99" s="24" t="s">
        <v>75</v>
      </c>
      <c r="C99" s="26" t="s">
        <v>88</v>
      </c>
      <c r="D99" s="26">
        <v>200</v>
      </c>
      <c r="E99" s="27">
        <f>E100</f>
        <v>2000000</v>
      </c>
      <c r="F99" s="27">
        <f>F100</f>
        <v>2995990.2</v>
      </c>
      <c r="G99" s="25">
        <f t="shared" si="3"/>
        <v>4995990.2</v>
      </c>
      <c r="H99" s="3"/>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row>
    <row r="100" spans="1:34" s="16" customFormat="1" ht="31.5">
      <c r="A100" s="28" t="s">
        <v>22</v>
      </c>
      <c r="B100" s="24" t="s">
        <v>75</v>
      </c>
      <c r="C100" s="26" t="s">
        <v>88</v>
      </c>
      <c r="D100" s="26">
        <v>240</v>
      </c>
      <c r="E100" s="49">
        <v>2000000</v>
      </c>
      <c r="F100" s="49">
        <v>2995990.2</v>
      </c>
      <c r="G100" s="25">
        <f t="shared" si="3"/>
        <v>4995990.2</v>
      </c>
      <c r="H100" s="3"/>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s="16" customFormat="1" ht="39.75" customHeight="1">
      <c r="A101" s="28" t="s">
        <v>89</v>
      </c>
      <c r="B101" s="24" t="s">
        <v>75</v>
      </c>
      <c r="C101" s="26" t="s">
        <v>90</v>
      </c>
      <c r="D101" s="26"/>
      <c r="E101" s="49">
        <f aca="true" t="shared" si="4" ref="E101:F103">E102</f>
        <v>0</v>
      </c>
      <c r="F101" s="49">
        <f t="shared" si="4"/>
        <v>100000</v>
      </c>
      <c r="G101" s="25">
        <f t="shared" si="3"/>
        <v>100000</v>
      </c>
      <c r="H101" s="3"/>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4" s="16" customFormat="1" ht="35.25" customHeight="1">
      <c r="A102" s="28" t="s">
        <v>91</v>
      </c>
      <c r="B102" s="24" t="s">
        <v>75</v>
      </c>
      <c r="C102" s="26" t="s">
        <v>92</v>
      </c>
      <c r="D102" s="26"/>
      <c r="E102" s="49">
        <f t="shared" si="4"/>
        <v>0</v>
      </c>
      <c r="F102" s="49">
        <f t="shared" si="4"/>
        <v>100000</v>
      </c>
      <c r="G102" s="25">
        <f t="shared" si="3"/>
        <v>100000</v>
      </c>
      <c r="H102" s="3"/>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4" s="16" customFormat="1" ht="31.5">
      <c r="A103" s="28" t="s">
        <v>93</v>
      </c>
      <c r="B103" s="24" t="s">
        <v>75</v>
      </c>
      <c r="C103" s="26" t="s">
        <v>92</v>
      </c>
      <c r="D103" s="26">
        <v>600</v>
      </c>
      <c r="E103" s="49">
        <f t="shared" si="4"/>
        <v>0</v>
      </c>
      <c r="F103" s="49">
        <f t="shared" si="4"/>
        <v>100000</v>
      </c>
      <c r="G103" s="25">
        <f t="shared" si="3"/>
        <v>100000</v>
      </c>
      <c r="H103" s="3"/>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s="16" customFormat="1" ht="15.75">
      <c r="A104" s="28" t="s">
        <v>94</v>
      </c>
      <c r="B104" s="24" t="s">
        <v>75</v>
      </c>
      <c r="C104" s="26" t="s">
        <v>92</v>
      </c>
      <c r="D104" s="26">
        <v>610</v>
      </c>
      <c r="E104" s="49">
        <v>0</v>
      </c>
      <c r="F104" s="49">
        <v>100000</v>
      </c>
      <c r="G104" s="25">
        <f t="shared" si="3"/>
        <v>100000</v>
      </c>
      <c r="H104" s="3"/>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row>
    <row r="105" spans="1:34" s="16" customFormat="1" ht="31.5">
      <c r="A105" s="31" t="s">
        <v>95</v>
      </c>
      <c r="B105" s="24" t="s">
        <v>75</v>
      </c>
      <c r="C105" s="26" t="s">
        <v>96</v>
      </c>
      <c r="D105" s="26"/>
      <c r="E105" s="27">
        <f>SUM(E106)</f>
        <v>1750000</v>
      </c>
      <c r="F105" s="27">
        <f>SUM(F106)</f>
        <v>0</v>
      </c>
      <c r="G105" s="25">
        <f t="shared" si="3"/>
        <v>1750000</v>
      </c>
      <c r="H105" s="3"/>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s="16" customFormat="1" ht="47.25">
      <c r="A106" s="61" t="s">
        <v>97</v>
      </c>
      <c r="B106" s="24" t="s">
        <v>75</v>
      </c>
      <c r="C106" s="26" t="s">
        <v>98</v>
      </c>
      <c r="D106" s="26"/>
      <c r="E106" s="27">
        <f>SUM(E107,E110,E113)</f>
        <v>1750000</v>
      </c>
      <c r="F106" s="27">
        <f>SUM(F107,F110,F113)</f>
        <v>0</v>
      </c>
      <c r="G106" s="25">
        <f t="shared" si="3"/>
        <v>1750000</v>
      </c>
      <c r="H106" s="3"/>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s="3" customFormat="1" ht="31.5">
      <c r="A107" s="61" t="s">
        <v>99</v>
      </c>
      <c r="B107" s="24" t="s">
        <v>75</v>
      </c>
      <c r="C107" s="26" t="s">
        <v>100</v>
      </c>
      <c r="D107" s="26"/>
      <c r="E107" s="27">
        <f>E108</f>
        <v>800000</v>
      </c>
      <c r="F107" s="27">
        <f>F108</f>
        <v>0</v>
      </c>
      <c r="G107" s="25">
        <f t="shared" si="3"/>
        <v>800000</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row>
    <row r="108" spans="1:34" s="16" customFormat="1" ht="31.5">
      <c r="A108" s="28" t="s">
        <v>20</v>
      </c>
      <c r="B108" s="24" t="s">
        <v>75</v>
      </c>
      <c r="C108" s="26" t="s">
        <v>100</v>
      </c>
      <c r="D108" s="26">
        <v>200</v>
      </c>
      <c r="E108" s="27">
        <f>E109</f>
        <v>800000</v>
      </c>
      <c r="F108" s="27">
        <f>F109</f>
        <v>0</v>
      </c>
      <c r="G108" s="25">
        <f t="shared" si="3"/>
        <v>800000</v>
      </c>
      <c r="H108" s="3"/>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s="16" customFormat="1" ht="31.5">
      <c r="A109" s="28" t="s">
        <v>22</v>
      </c>
      <c r="B109" s="24" t="s">
        <v>75</v>
      </c>
      <c r="C109" s="26" t="s">
        <v>100</v>
      </c>
      <c r="D109" s="26">
        <v>240</v>
      </c>
      <c r="E109" s="27">
        <v>800000</v>
      </c>
      <c r="F109" s="27">
        <v>0</v>
      </c>
      <c r="G109" s="25">
        <f t="shared" si="3"/>
        <v>800000</v>
      </c>
      <c r="H109" s="3"/>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s="16" customFormat="1" ht="31.5">
      <c r="A110" s="61" t="s">
        <v>101</v>
      </c>
      <c r="B110" s="24" t="s">
        <v>75</v>
      </c>
      <c r="C110" s="26" t="s">
        <v>102</v>
      </c>
      <c r="D110" s="26"/>
      <c r="E110" s="27">
        <f>E111</f>
        <v>250000</v>
      </c>
      <c r="F110" s="27">
        <f>F111</f>
        <v>0</v>
      </c>
      <c r="G110" s="25">
        <f t="shared" si="3"/>
        <v>250000</v>
      </c>
      <c r="H110" s="3"/>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s="16" customFormat="1" ht="31.5">
      <c r="A111" s="28" t="s">
        <v>93</v>
      </c>
      <c r="B111" s="24" t="s">
        <v>75</v>
      </c>
      <c r="C111" s="26" t="s">
        <v>102</v>
      </c>
      <c r="D111" s="26">
        <v>600</v>
      </c>
      <c r="E111" s="27">
        <f>E112</f>
        <v>250000</v>
      </c>
      <c r="F111" s="27">
        <f>F112</f>
        <v>0</v>
      </c>
      <c r="G111" s="25">
        <f t="shared" si="3"/>
        <v>250000</v>
      </c>
      <c r="H111" s="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s="16" customFormat="1" ht="31.5">
      <c r="A112" s="31" t="s">
        <v>103</v>
      </c>
      <c r="B112" s="24" t="s">
        <v>75</v>
      </c>
      <c r="C112" s="26" t="s">
        <v>102</v>
      </c>
      <c r="D112" s="26">
        <v>630</v>
      </c>
      <c r="E112" s="27">
        <v>250000</v>
      </c>
      <c r="F112" s="27">
        <v>0</v>
      </c>
      <c r="G112" s="25">
        <f t="shared" si="3"/>
        <v>250000</v>
      </c>
      <c r="H112" s="3"/>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s="16" customFormat="1" ht="47.25">
      <c r="A113" s="61" t="s">
        <v>104</v>
      </c>
      <c r="B113" s="24" t="s">
        <v>75</v>
      </c>
      <c r="C113" s="26" t="s">
        <v>105</v>
      </c>
      <c r="D113" s="26"/>
      <c r="E113" s="27">
        <f>E114</f>
        <v>700000</v>
      </c>
      <c r="F113" s="27">
        <f>F114</f>
        <v>0</v>
      </c>
      <c r="G113" s="25">
        <f t="shared" si="3"/>
        <v>700000</v>
      </c>
      <c r="H113" s="3"/>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s="16" customFormat="1" ht="31.5">
      <c r="A114" s="28" t="s">
        <v>93</v>
      </c>
      <c r="B114" s="24" t="s">
        <v>75</v>
      </c>
      <c r="C114" s="26" t="s">
        <v>105</v>
      </c>
      <c r="D114" s="26">
        <v>600</v>
      </c>
      <c r="E114" s="27">
        <f>E115</f>
        <v>700000</v>
      </c>
      <c r="F114" s="27">
        <f>F115</f>
        <v>0</v>
      </c>
      <c r="G114" s="25">
        <f t="shared" si="3"/>
        <v>700000</v>
      </c>
      <c r="H114" s="3"/>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s="16" customFormat="1" ht="31.5">
      <c r="A115" s="31" t="s">
        <v>103</v>
      </c>
      <c r="B115" s="24" t="s">
        <v>75</v>
      </c>
      <c r="C115" s="26" t="s">
        <v>105</v>
      </c>
      <c r="D115" s="26">
        <v>630</v>
      </c>
      <c r="E115" s="27">
        <v>700000</v>
      </c>
      <c r="F115" s="27">
        <v>0</v>
      </c>
      <c r="G115" s="25">
        <f t="shared" si="3"/>
        <v>700000</v>
      </c>
      <c r="H115" s="3"/>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s="16" customFormat="1" ht="47.25">
      <c r="A116" s="31" t="s">
        <v>106</v>
      </c>
      <c r="B116" s="24" t="s">
        <v>75</v>
      </c>
      <c r="C116" s="26" t="s">
        <v>107</v>
      </c>
      <c r="D116" s="26"/>
      <c r="E116" s="27">
        <f>SUM(E117,E133)</f>
        <v>39009568</v>
      </c>
      <c r="F116" s="27">
        <f>SUM(F117,F133)</f>
        <v>4328790.92</v>
      </c>
      <c r="G116" s="25">
        <f t="shared" si="3"/>
        <v>43338358.92</v>
      </c>
      <c r="H116" s="3"/>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s="16" customFormat="1" ht="31.5">
      <c r="A117" s="31" t="s">
        <v>108</v>
      </c>
      <c r="B117" s="24" t="s">
        <v>75</v>
      </c>
      <c r="C117" s="26" t="s">
        <v>109</v>
      </c>
      <c r="D117" s="26"/>
      <c r="E117" s="27">
        <f>SUM(E118,E121,E124,E127,E130)</f>
        <v>3409568</v>
      </c>
      <c r="F117" s="27">
        <f>SUM(F118,F121,F124,F127,F130)</f>
        <v>3978790.92</v>
      </c>
      <c r="G117" s="25">
        <f t="shared" si="3"/>
        <v>7388358.92</v>
      </c>
      <c r="H117" s="3"/>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s="16" customFormat="1" ht="31.5">
      <c r="A118" s="31" t="s">
        <v>110</v>
      </c>
      <c r="B118" s="24" t="s">
        <v>75</v>
      </c>
      <c r="C118" s="26" t="s">
        <v>111</v>
      </c>
      <c r="D118" s="26"/>
      <c r="E118" s="27">
        <f>E119</f>
        <v>154492.4</v>
      </c>
      <c r="F118" s="27">
        <f>F119</f>
        <v>0.04</v>
      </c>
      <c r="G118" s="25">
        <f t="shared" si="3"/>
        <v>154492.44</v>
      </c>
      <c r="H118" s="3"/>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s="16" customFormat="1" ht="31.5">
      <c r="A119" s="28" t="s">
        <v>20</v>
      </c>
      <c r="B119" s="24" t="s">
        <v>75</v>
      </c>
      <c r="C119" s="26" t="s">
        <v>111</v>
      </c>
      <c r="D119" s="26">
        <v>200</v>
      </c>
      <c r="E119" s="27">
        <f>E120</f>
        <v>154492.4</v>
      </c>
      <c r="F119" s="27">
        <f>F120</f>
        <v>0.04</v>
      </c>
      <c r="G119" s="25">
        <f t="shared" si="3"/>
        <v>154492.44</v>
      </c>
      <c r="H119" s="3"/>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s="16" customFormat="1" ht="31.5">
      <c r="A120" s="28" t="s">
        <v>22</v>
      </c>
      <c r="B120" s="24" t="s">
        <v>75</v>
      </c>
      <c r="C120" s="26" t="s">
        <v>111</v>
      </c>
      <c r="D120" s="26">
        <v>240</v>
      </c>
      <c r="E120" s="27">
        <f>400000-245507.6</f>
        <v>154492.4</v>
      </c>
      <c r="F120" s="27">
        <v>0.04</v>
      </c>
      <c r="G120" s="25">
        <f t="shared" si="3"/>
        <v>154492.44</v>
      </c>
      <c r="H120" s="3"/>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s="44" customFormat="1" ht="47.25" customHeight="1">
      <c r="A121" s="48" t="s">
        <v>112</v>
      </c>
      <c r="B121" s="33" t="s">
        <v>75</v>
      </c>
      <c r="C121" s="36" t="s">
        <v>113</v>
      </c>
      <c r="D121" s="36"/>
      <c r="E121" s="37">
        <f>E122</f>
        <v>1503018.8900000001</v>
      </c>
      <c r="F121" s="37">
        <f>F122</f>
        <v>0</v>
      </c>
      <c r="G121" s="25">
        <f t="shared" si="3"/>
        <v>1503018.8900000001</v>
      </c>
      <c r="H121" s="38"/>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row>
    <row r="122" spans="1:34" s="44" customFormat="1" ht="31.5">
      <c r="A122" s="35" t="s">
        <v>20</v>
      </c>
      <c r="B122" s="33" t="s">
        <v>75</v>
      </c>
      <c r="C122" s="36" t="s">
        <v>113</v>
      </c>
      <c r="D122" s="36">
        <v>200</v>
      </c>
      <c r="E122" s="37">
        <f>E123</f>
        <v>1503018.8900000001</v>
      </c>
      <c r="F122" s="37">
        <f>F123</f>
        <v>0</v>
      </c>
      <c r="G122" s="25">
        <f t="shared" si="3"/>
        <v>1503018.8900000001</v>
      </c>
      <c r="H122" s="38"/>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row>
    <row r="123" spans="1:34" s="44" customFormat="1" ht="31.5">
      <c r="A123" s="35" t="s">
        <v>22</v>
      </c>
      <c r="B123" s="33" t="s">
        <v>75</v>
      </c>
      <c r="C123" s="36" t="s">
        <v>113</v>
      </c>
      <c r="D123" s="36">
        <v>240</v>
      </c>
      <c r="E123" s="37">
        <f>1352717+150301.89</f>
        <v>1503018.8900000001</v>
      </c>
      <c r="F123" s="37">
        <v>0</v>
      </c>
      <c r="G123" s="25">
        <f t="shared" si="3"/>
        <v>1503018.8900000001</v>
      </c>
      <c r="H123" s="38"/>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row>
    <row r="124" spans="1:34" s="44" customFormat="1" ht="69" customHeight="1">
      <c r="A124" s="48" t="s">
        <v>114</v>
      </c>
      <c r="B124" s="33" t="s">
        <v>75</v>
      </c>
      <c r="C124" s="36" t="s">
        <v>115</v>
      </c>
      <c r="D124" s="36"/>
      <c r="E124" s="37">
        <f>E125</f>
        <v>952056.71</v>
      </c>
      <c r="F124" s="37">
        <f>F125</f>
        <v>-0.04</v>
      </c>
      <c r="G124" s="25">
        <f t="shared" si="3"/>
        <v>952056.6699999999</v>
      </c>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row>
    <row r="125" spans="1:34" s="44" customFormat="1" ht="31.5">
      <c r="A125" s="35" t="s">
        <v>20</v>
      </c>
      <c r="B125" s="33" t="s">
        <v>75</v>
      </c>
      <c r="C125" s="36" t="s">
        <v>115</v>
      </c>
      <c r="D125" s="36">
        <v>200</v>
      </c>
      <c r="E125" s="37">
        <f>E126</f>
        <v>952056.71</v>
      </c>
      <c r="F125" s="37">
        <f>F126</f>
        <v>-0.04</v>
      </c>
      <c r="G125" s="25">
        <f t="shared" si="3"/>
        <v>952056.6699999999</v>
      </c>
      <c r="H125" s="38"/>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row>
    <row r="126" spans="1:34" s="44" customFormat="1" ht="31.5">
      <c r="A126" s="35" t="s">
        <v>22</v>
      </c>
      <c r="B126" s="33" t="s">
        <v>75</v>
      </c>
      <c r="C126" s="36" t="s">
        <v>115</v>
      </c>
      <c r="D126" s="36">
        <v>240</v>
      </c>
      <c r="E126" s="37">
        <f>856851+95205.71</f>
        <v>952056.71</v>
      </c>
      <c r="F126" s="37">
        <v>-0.04</v>
      </c>
      <c r="G126" s="25">
        <f t="shared" si="3"/>
        <v>952056.6699999999</v>
      </c>
      <c r="H126" s="38"/>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row>
    <row r="127" spans="1:34" s="16" customFormat="1" ht="47.25">
      <c r="A127" s="31" t="s">
        <v>116</v>
      </c>
      <c r="B127" s="24" t="s">
        <v>75</v>
      </c>
      <c r="C127" s="26" t="s">
        <v>117</v>
      </c>
      <c r="D127" s="26"/>
      <c r="E127" s="27">
        <f>E128</f>
        <v>300000</v>
      </c>
      <c r="F127" s="27">
        <f>F128</f>
        <v>0</v>
      </c>
      <c r="G127" s="25">
        <f t="shared" si="3"/>
        <v>300000</v>
      </c>
      <c r="H127" s="3"/>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s="16" customFormat="1" ht="31.5">
      <c r="A128" s="28" t="s">
        <v>20</v>
      </c>
      <c r="B128" s="24" t="s">
        <v>75</v>
      </c>
      <c r="C128" s="26" t="s">
        <v>117</v>
      </c>
      <c r="D128" s="26">
        <v>200</v>
      </c>
      <c r="E128" s="27">
        <f>E129</f>
        <v>300000</v>
      </c>
      <c r="F128" s="27">
        <f>F129</f>
        <v>0</v>
      </c>
      <c r="G128" s="25">
        <f t="shared" si="3"/>
        <v>300000</v>
      </c>
      <c r="H128" s="3"/>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s="16" customFormat="1" ht="31.5">
      <c r="A129" s="28" t="s">
        <v>22</v>
      </c>
      <c r="B129" s="24" t="s">
        <v>75</v>
      </c>
      <c r="C129" s="26" t="s">
        <v>117</v>
      </c>
      <c r="D129" s="26">
        <v>240</v>
      </c>
      <c r="E129" s="27">
        <v>300000</v>
      </c>
      <c r="F129" s="27">
        <v>0</v>
      </c>
      <c r="G129" s="25">
        <f t="shared" si="3"/>
        <v>300000</v>
      </c>
      <c r="H129" s="3"/>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s="16" customFormat="1" ht="31.5">
      <c r="A130" s="31" t="s">
        <v>118</v>
      </c>
      <c r="B130" s="24" t="s">
        <v>75</v>
      </c>
      <c r="C130" s="26" t="s">
        <v>119</v>
      </c>
      <c r="D130" s="26"/>
      <c r="E130" s="27">
        <f>E131</f>
        <v>500000</v>
      </c>
      <c r="F130" s="27">
        <f>F131</f>
        <v>3978790.92</v>
      </c>
      <c r="G130" s="25">
        <f t="shared" si="3"/>
        <v>4478790.92</v>
      </c>
      <c r="H130" s="3"/>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s="16" customFormat="1" ht="31.5">
      <c r="A131" s="28" t="s">
        <v>20</v>
      </c>
      <c r="B131" s="24" t="s">
        <v>75</v>
      </c>
      <c r="C131" s="26" t="s">
        <v>119</v>
      </c>
      <c r="D131" s="26">
        <v>200</v>
      </c>
      <c r="E131" s="27">
        <f>E132</f>
        <v>500000</v>
      </c>
      <c r="F131" s="27">
        <f>F132</f>
        <v>3978790.92</v>
      </c>
      <c r="G131" s="25">
        <f t="shared" si="3"/>
        <v>4478790.92</v>
      </c>
      <c r="H131" s="3"/>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s="16" customFormat="1" ht="31.5">
      <c r="A132" s="28" t="s">
        <v>22</v>
      </c>
      <c r="B132" s="24" t="s">
        <v>75</v>
      </c>
      <c r="C132" s="26" t="s">
        <v>119</v>
      </c>
      <c r="D132" s="26">
        <v>240</v>
      </c>
      <c r="E132" s="27">
        <v>500000</v>
      </c>
      <c r="F132" s="27">
        <v>3978790.92</v>
      </c>
      <c r="G132" s="25">
        <f t="shared" si="3"/>
        <v>4478790.92</v>
      </c>
      <c r="H132" s="3"/>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s="3" customFormat="1" ht="47.25">
      <c r="A133" s="28" t="s">
        <v>120</v>
      </c>
      <c r="B133" s="24" t="s">
        <v>75</v>
      </c>
      <c r="C133" s="26" t="s">
        <v>121</v>
      </c>
      <c r="D133" s="26"/>
      <c r="E133" s="27">
        <f>E134</f>
        <v>35600000</v>
      </c>
      <c r="F133" s="27">
        <f>F134</f>
        <v>350000</v>
      </c>
      <c r="G133" s="25">
        <f t="shared" si="3"/>
        <v>35950000</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row>
    <row r="134" spans="1:7" ht="63">
      <c r="A134" s="31" t="s">
        <v>122</v>
      </c>
      <c r="B134" s="24" t="s">
        <v>75</v>
      </c>
      <c r="C134" s="26" t="s">
        <v>123</v>
      </c>
      <c r="D134" s="26"/>
      <c r="E134" s="27">
        <f>SUM(E135,E137,E139)</f>
        <v>35600000</v>
      </c>
      <c r="F134" s="27">
        <f>SUM(F135,F137,F139)</f>
        <v>350000</v>
      </c>
      <c r="G134" s="25">
        <f t="shared" si="3"/>
        <v>35950000</v>
      </c>
    </row>
    <row r="135" spans="1:34" s="16" customFormat="1" ht="78.75">
      <c r="A135" s="23" t="s">
        <v>16</v>
      </c>
      <c r="B135" s="24" t="s">
        <v>75</v>
      </c>
      <c r="C135" s="26" t="s">
        <v>123</v>
      </c>
      <c r="D135" s="26">
        <v>100</v>
      </c>
      <c r="E135" s="27">
        <f>E136</f>
        <v>32000000</v>
      </c>
      <c r="F135" s="27">
        <f>F136</f>
        <v>-82120</v>
      </c>
      <c r="G135" s="25">
        <f aca="true" t="shared" si="5" ref="G135:G198">SUM(E135:F135)</f>
        <v>31917880</v>
      </c>
      <c r="H135" s="3"/>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s="16" customFormat="1" ht="15.75">
      <c r="A136" s="23" t="s">
        <v>86</v>
      </c>
      <c r="B136" s="24" t="s">
        <v>75</v>
      </c>
      <c r="C136" s="26" t="s">
        <v>123</v>
      </c>
      <c r="D136" s="26">
        <v>110</v>
      </c>
      <c r="E136" s="27">
        <v>32000000</v>
      </c>
      <c r="F136" s="27">
        <v>-82120</v>
      </c>
      <c r="G136" s="25">
        <f t="shared" si="5"/>
        <v>31917880</v>
      </c>
      <c r="H136" s="3"/>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7" ht="31.5">
      <c r="A137" s="28" t="s">
        <v>20</v>
      </c>
      <c r="B137" s="24" t="s">
        <v>75</v>
      </c>
      <c r="C137" s="26" t="s">
        <v>123</v>
      </c>
      <c r="D137" s="26">
        <v>200</v>
      </c>
      <c r="E137" s="27">
        <f>E138</f>
        <v>3500000</v>
      </c>
      <c r="F137" s="27">
        <f>F138</f>
        <v>440000</v>
      </c>
      <c r="G137" s="25">
        <f t="shared" si="5"/>
        <v>3940000</v>
      </c>
    </row>
    <row r="138" spans="1:34" s="16" customFormat="1" ht="31.5">
      <c r="A138" s="28" t="s">
        <v>22</v>
      </c>
      <c r="B138" s="24" t="s">
        <v>75</v>
      </c>
      <c r="C138" s="26" t="s">
        <v>123</v>
      </c>
      <c r="D138" s="26">
        <v>240</v>
      </c>
      <c r="E138" s="27">
        <v>3500000</v>
      </c>
      <c r="F138" s="27">
        <f>-10000+450000</f>
        <v>440000</v>
      </c>
      <c r="G138" s="25">
        <f t="shared" si="5"/>
        <v>3940000</v>
      </c>
      <c r="H138" s="3"/>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s="16" customFormat="1" ht="15.75">
      <c r="A139" s="28" t="s">
        <v>24</v>
      </c>
      <c r="B139" s="24" t="s">
        <v>75</v>
      </c>
      <c r="C139" s="26" t="s">
        <v>123</v>
      </c>
      <c r="D139" s="26">
        <v>800</v>
      </c>
      <c r="E139" s="27">
        <f>E140</f>
        <v>100000</v>
      </c>
      <c r="F139" s="27">
        <f>F140</f>
        <v>-7880</v>
      </c>
      <c r="G139" s="25">
        <f t="shared" si="5"/>
        <v>92120</v>
      </c>
      <c r="H139" s="3"/>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s="16" customFormat="1" ht="15.75">
      <c r="A140" s="28" t="s">
        <v>26</v>
      </c>
      <c r="B140" s="24" t="s">
        <v>75</v>
      </c>
      <c r="C140" s="26" t="s">
        <v>123</v>
      </c>
      <c r="D140" s="26">
        <v>850</v>
      </c>
      <c r="E140" s="27">
        <v>100000</v>
      </c>
      <c r="F140" s="27">
        <v>-7880</v>
      </c>
      <c r="G140" s="25">
        <f t="shared" si="5"/>
        <v>92120</v>
      </c>
      <c r="H140" s="3"/>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s="16" customFormat="1" ht="15.75">
      <c r="A141" s="30" t="s">
        <v>30</v>
      </c>
      <c r="B141" s="24" t="s">
        <v>75</v>
      </c>
      <c r="C141" s="26" t="s">
        <v>31</v>
      </c>
      <c r="D141" s="21"/>
      <c r="E141" s="25">
        <f>SUM(E142,E168,E155)</f>
        <v>36032611</v>
      </c>
      <c r="F141" s="25">
        <f>SUM(F142,F168,F155)</f>
        <v>10094981.69</v>
      </c>
      <c r="G141" s="25">
        <f t="shared" si="5"/>
        <v>46127592.69</v>
      </c>
      <c r="H141" s="3"/>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s="16" customFormat="1" ht="31.5">
      <c r="A142" s="31" t="s">
        <v>59</v>
      </c>
      <c r="B142" s="24" t="s">
        <v>75</v>
      </c>
      <c r="C142" s="26" t="s">
        <v>60</v>
      </c>
      <c r="D142" s="26"/>
      <c r="E142" s="27">
        <f>SUM(E143,E146,E149,E152)</f>
        <v>1820000</v>
      </c>
      <c r="F142" s="27">
        <f>SUM(F143,F146,F149,F152)</f>
        <v>0</v>
      </c>
      <c r="G142" s="25">
        <f t="shared" si="5"/>
        <v>1820000</v>
      </c>
      <c r="H142" s="3"/>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s="16" customFormat="1" ht="47.25">
      <c r="A143" s="31" t="s">
        <v>124</v>
      </c>
      <c r="B143" s="24" t="s">
        <v>75</v>
      </c>
      <c r="C143" s="26" t="s">
        <v>125</v>
      </c>
      <c r="D143" s="26"/>
      <c r="E143" s="27">
        <f>E144</f>
        <v>300000</v>
      </c>
      <c r="F143" s="27">
        <f>F144</f>
        <v>0</v>
      </c>
      <c r="G143" s="25">
        <f t="shared" si="5"/>
        <v>300000</v>
      </c>
      <c r="H143" s="3"/>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s="16" customFormat="1" ht="31.5">
      <c r="A144" s="28" t="s">
        <v>20</v>
      </c>
      <c r="B144" s="24" t="s">
        <v>75</v>
      </c>
      <c r="C144" s="26" t="s">
        <v>125</v>
      </c>
      <c r="D144" s="26">
        <v>200</v>
      </c>
      <c r="E144" s="27">
        <f>E145</f>
        <v>300000</v>
      </c>
      <c r="F144" s="27">
        <f>F145</f>
        <v>0</v>
      </c>
      <c r="G144" s="25">
        <f t="shared" si="5"/>
        <v>300000</v>
      </c>
      <c r="H144" s="3"/>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spans="1:34" s="16" customFormat="1" ht="31.5">
      <c r="A145" s="28" t="s">
        <v>22</v>
      </c>
      <c r="B145" s="24" t="s">
        <v>75</v>
      </c>
      <c r="C145" s="26" t="s">
        <v>125</v>
      </c>
      <c r="D145" s="26">
        <v>240</v>
      </c>
      <c r="E145" s="27">
        <v>300000</v>
      </c>
      <c r="F145" s="27">
        <v>0</v>
      </c>
      <c r="G145" s="25">
        <f t="shared" si="5"/>
        <v>300000</v>
      </c>
      <c r="H145" s="3"/>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s="3" customFormat="1" ht="47.25">
      <c r="A146" s="31" t="s">
        <v>126</v>
      </c>
      <c r="B146" s="24" t="s">
        <v>75</v>
      </c>
      <c r="C146" s="26" t="s">
        <v>127</v>
      </c>
      <c r="D146" s="26"/>
      <c r="E146" s="27">
        <f>E147</f>
        <v>200000</v>
      </c>
      <c r="F146" s="27">
        <f>F147</f>
        <v>0</v>
      </c>
      <c r="G146" s="25">
        <f t="shared" si="5"/>
        <v>200000</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row>
    <row r="147" spans="1:7" ht="31.5">
      <c r="A147" s="31" t="s">
        <v>93</v>
      </c>
      <c r="B147" s="24" t="s">
        <v>75</v>
      </c>
      <c r="C147" s="26" t="s">
        <v>127</v>
      </c>
      <c r="D147" s="26">
        <v>600</v>
      </c>
      <c r="E147" s="27">
        <f>E148</f>
        <v>200000</v>
      </c>
      <c r="F147" s="27">
        <f>F148</f>
        <v>0</v>
      </c>
      <c r="G147" s="25">
        <f t="shared" si="5"/>
        <v>200000</v>
      </c>
    </row>
    <row r="148" spans="1:34" s="16" customFormat="1" ht="31.5">
      <c r="A148" s="31" t="s">
        <v>103</v>
      </c>
      <c r="B148" s="24" t="s">
        <v>75</v>
      </c>
      <c r="C148" s="26" t="s">
        <v>127</v>
      </c>
      <c r="D148" s="26">
        <v>630</v>
      </c>
      <c r="E148" s="49">
        <v>200000</v>
      </c>
      <c r="F148" s="49">
        <v>0</v>
      </c>
      <c r="G148" s="25">
        <f t="shared" si="5"/>
        <v>200000</v>
      </c>
      <c r="H148" s="3"/>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s="16" customFormat="1" ht="144" customHeight="1">
      <c r="A149" s="31" t="s">
        <v>128</v>
      </c>
      <c r="B149" s="24" t="s">
        <v>75</v>
      </c>
      <c r="C149" s="26" t="s">
        <v>129</v>
      </c>
      <c r="D149" s="26"/>
      <c r="E149" s="49">
        <f>E150</f>
        <v>500000</v>
      </c>
      <c r="F149" s="49">
        <f>F150</f>
        <v>0</v>
      </c>
      <c r="G149" s="25">
        <f t="shared" si="5"/>
        <v>500000</v>
      </c>
      <c r="H149" s="3"/>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7" ht="31.5">
      <c r="A150" s="31" t="s">
        <v>93</v>
      </c>
      <c r="B150" s="24" t="s">
        <v>75</v>
      </c>
      <c r="C150" s="26" t="s">
        <v>129</v>
      </c>
      <c r="D150" s="26">
        <v>600</v>
      </c>
      <c r="E150" s="49">
        <f>E151</f>
        <v>500000</v>
      </c>
      <c r="F150" s="49">
        <f>F151</f>
        <v>0</v>
      </c>
      <c r="G150" s="25">
        <f t="shared" si="5"/>
        <v>500000</v>
      </c>
    </row>
    <row r="151" spans="1:7" ht="31.5">
      <c r="A151" s="31" t="s">
        <v>103</v>
      </c>
      <c r="B151" s="24" t="s">
        <v>75</v>
      </c>
      <c r="C151" s="26" t="s">
        <v>129</v>
      </c>
      <c r="D151" s="26">
        <v>630</v>
      </c>
      <c r="E151" s="49">
        <v>500000</v>
      </c>
      <c r="F151" s="49">
        <v>0</v>
      </c>
      <c r="G151" s="25">
        <f t="shared" si="5"/>
        <v>500000</v>
      </c>
    </row>
    <row r="152" spans="1:7" ht="63">
      <c r="A152" s="62" t="s">
        <v>130</v>
      </c>
      <c r="B152" s="24" t="s">
        <v>75</v>
      </c>
      <c r="C152" s="26" t="s">
        <v>131</v>
      </c>
      <c r="D152" s="26"/>
      <c r="E152" s="27">
        <f>E153</f>
        <v>820000</v>
      </c>
      <c r="F152" s="27">
        <f>F153</f>
        <v>0</v>
      </c>
      <c r="G152" s="25">
        <f t="shared" si="5"/>
        <v>820000</v>
      </c>
    </row>
    <row r="153" spans="1:34" s="16" customFormat="1" ht="15.75">
      <c r="A153" s="28" t="s">
        <v>24</v>
      </c>
      <c r="B153" s="24" t="s">
        <v>75</v>
      </c>
      <c r="C153" s="26" t="s">
        <v>131</v>
      </c>
      <c r="D153" s="26">
        <v>800</v>
      </c>
      <c r="E153" s="27">
        <f>E154</f>
        <v>820000</v>
      </c>
      <c r="F153" s="27">
        <f>F154</f>
        <v>0</v>
      </c>
      <c r="G153" s="25">
        <f t="shared" si="5"/>
        <v>820000</v>
      </c>
      <c r="H153" s="3"/>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s="16" customFormat="1" ht="15.75">
      <c r="A154" s="28" t="s">
        <v>26</v>
      </c>
      <c r="B154" s="24" t="s">
        <v>75</v>
      </c>
      <c r="C154" s="26" t="s">
        <v>131</v>
      </c>
      <c r="D154" s="26">
        <v>850</v>
      </c>
      <c r="E154" s="49">
        <v>820000</v>
      </c>
      <c r="F154" s="49">
        <v>0</v>
      </c>
      <c r="G154" s="25">
        <f t="shared" si="5"/>
        <v>820000</v>
      </c>
      <c r="H154" s="3"/>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row>
    <row r="155" spans="1:34" s="16" customFormat="1" ht="47.25">
      <c r="A155" s="31" t="s">
        <v>46</v>
      </c>
      <c r="B155" s="24" t="s">
        <v>75</v>
      </c>
      <c r="C155" s="26" t="s">
        <v>47</v>
      </c>
      <c r="D155" s="26"/>
      <c r="E155" s="27">
        <f>SUM(E162,E165,E156,E159)</f>
        <v>2012611</v>
      </c>
      <c r="F155" s="27">
        <f>SUM(F162,F165,F156,F159)</f>
        <v>13054681.69</v>
      </c>
      <c r="G155" s="25">
        <f t="shared" si="5"/>
        <v>15067292.69</v>
      </c>
      <c r="H155" s="3"/>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s="16" customFormat="1" ht="30" customHeight="1">
      <c r="A156" s="31" t="s">
        <v>132</v>
      </c>
      <c r="B156" s="33" t="s">
        <v>75</v>
      </c>
      <c r="C156" s="26" t="s">
        <v>133</v>
      </c>
      <c r="D156" s="26"/>
      <c r="E156" s="27">
        <f>E157</f>
        <v>0</v>
      </c>
      <c r="F156" s="27">
        <f>F157</f>
        <v>10487595.67</v>
      </c>
      <c r="G156" s="25">
        <f t="shared" si="5"/>
        <v>10487595.67</v>
      </c>
      <c r="H156" s="3"/>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s="16" customFormat="1" ht="31.5">
      <c r="A157" s="31" t="s">
        <v>93</v>
      </c>
      <c r="B157" s="33" t="s">
        <v>75</v>
      </c>
      <c r="C157" s="26" t="s">
        <v>133</v>
      </c>
      <c r="D157" s="24" t="s">
        <v>134</v>
      </c>
      <c r="E157" s="27">
        <f>E158</f>
        <v>0</v>
      </c>
      <c r="F157" s="27">
        <f>F158</f>
        <v>10487595.67</v>
      </c>
      <c r="G157" s="25">
        <f t="shared" si="5"/>
        <v>10487595.67</v>
      </c>
      <c r="H157" s="3"/>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34" s="16" customFormat="1" ht="15.75">
      <c r="A158" s="31" t="s">
        <v>94</v>
      </c>
      <c r="B158" s="33" t="s">
        <v>75</v>
      </c>
      <c r="C158" s="26" t="s">
        <v>133</v>
      </c>
      <c r="D158" s="24" t="s">
        <v>135</v>
      </c>
      <c r="E158" s="27">
        <v>0</v>
      </c>
      <c r="F158" s="27">
        <v>10487595.67</v>
      </c>
      <c r="G158" s="25">
        <f t="shared" si="5"/>
        <v>10487595.67</v>
      </c>
      <c r="H158" s="3"/>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s="16" customFormat="1" ht="82.5" customHeight="1">
      <c r="A159" s="31" t="s">
        <v>136</v>
      </c>
      <c r="B159" s="33" t="s">
        <v>75</v>
      </c>
      <c r="C159" s="26" t="s">
        <v>137</v>
      </c>
      <c r="D159" s="24"/>
      <c r="E159" s="27">
        <f>E160</f>
        <v>0</v>
      </c>
      <c r="F159" s="27">
        <f>F160</f>
        <v>2680414.02</v>
      </c>
      <c r="G159" s="25">
        <f t="shared" si="5"/>
        <v>2680414.02</v>
      </c>
      <c r="H159" s="3"/>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s="16" customFormat="1" ht="31.5">
      <c r="A160" s="31" t="s">
        <v>93</v>
      </c>
      <c r="B160" s="33" t="s">
        <v>75</v>
      </c>
      <c r="C160" s="26" t="s">
        <v>137</v>
      </c>
      <c r="D160" s="24" t="s">
        <v>134</v>
      </c>
      <c r="E160" s="27">
        <f>E161</f>
        <v>0</v>
      </c>
      <c r="F160" s="27">
        <f>F161</f>
        <v>2680414.02</v>
      </c>
      <c r="G160" s="25">
        <f t="shared" si="5"/>
        <v>2680414.02</v>
      </c>
      <c r="H160" s="3"/>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s="16" customFormat="1" ht="15.75">
      <c r="A161" s="31" t="s">
        <v>94</v>
      </c>
      <c r="B161" s="33" t="s">
        <v>75</v>
      </c>
      <c r="C161" s="26" t="s">
        <v>137</v>
      </c>
      <c r="D161" s="24" t="s">
        <v>135</v>
      </c>
      <c r="E161" s="27">
        <v>0</v>
      </c>
      <c r="F161" s="27">
        <v>2680414.02</v>
      </c>
      <c r="G161" s="25">
        <f t="shared" si="5"/>
        <v>2680414.02</v>
      </c>
      <c r="H161" s="3"/>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s="44" customFormat="1" ht="31.5">
      <c r="A162" s="48" t="s">
        <v>138</v>
      </c>
      <c r="B162" s="33" t="s">
        <v>75</v>
      </c>
      <c r="C162" s="36" t="s">
        <v>139</v>
      </c>
      <c r="D162" s="36"/>
      <c r="E162" s="40">
        <f>E163</f>
        <v>1870001</v>
      </c>
      <c r="F162" s="40">
        <f>F163</f>
        <v>-113328</v>
      </c>
      <c r="G162" s="25">
        <f t="shared" si="5"/>
        <v>1756673</v>
      </c>
      <c r="H162" s="38"/>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row>
    <row r="163" spans="1:34" s="44" customFormat="1" ht="31.5">
      <c r="A163" s="35" t="s">
        <v>20</v>
      </c>
      <c r="B163" s="33" t="s">
        <v>75</v>
      </c>
      <c r="C163" s="36" t="s">
        <v>139</v>
      </c>
      <c r="D163" s="36">
        <v>200</v>
      </c>
      <c r="E163" s="40">
        <f>E164</f>
        <v>1870001</v>
      </c>
      <c r="F163" s="40">
        <f>F164</f>
        <v>-113328</v>
      </c>
      <c r="G163" s="25">
        <f t="shared" si="5"/>
        <v>1756673</v>
      </c>
      <c r="H163" s="38"/>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row>
    <row r="164" spans="1:34" s="44" customFormat="1" ht="31.5">
      <c r="A164" s="48" t="s">
        <v>22</v>
      </c>
      <c r="B164" s="33" t="s">
        <v>75</v>
      </c>
      <c r="C164" s="36" t="s">
        <v>139</v>
      </c>
      <c r="D164" s="36">
        <v>240</v>
      </c>
      <c r="E164" s="37">
        <v>1870001</v>
      </c>
      <c r="F164" s="37">
        <v>-113328</v>
      </c>
      <c r="G164" s="25">
        <f t="shared" si="5"/>
        <v>1756673</v>
      </c>
      <c r="H164" s="38"/>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row>
    <row r="165" spans="1:34" s="44" customFormat="1" ht="31.5">
      <c r="A165" s="35" t="s">
        <v>140</v>
      </c>
      <c r="B165" s="33" t="s">
        <v>75</v>
      </c>
      <c r="C165" s="36" t="s">
        <v>141</v>
      </c>
      <c r="D165" s="36"/>
      <c r="E165" s="40">
        <f>E166</f>
        <v>142610</v>
      </c>
      <c r="F165" s="40">
        <f>F166</f>
        <v>0</v>
      </c>
      <c r="G165" s="25">
        <f t="shared" si="5"/>
        <v>142610</v>
      </c>
      <c r="H165" s="38"/>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row>
    <row r="166" spans="1:34" s="44" customFormat="1" ht="31.5">
      <c r="A166" s="35" t="s">
        <v>20</v>
      </c>
      <c r="B166" s="33" t="s">
        <v>75</v>
      </c>
      <c r="C166" s="36" t="s">
        <v>141</v>
      </c>
      <c r="D166" s="36">
        <v>200</v>
      </c>
      <c r="E166" s="40">
        <f>E167</f>
        <v>142610</v>
      </c>
      <c r="F166" s="40">
        <f>F167</f>
        <v>0</v>
      </c>
      <c r="G166" s="25">
        <f t="shared" si="5"/>
        <v>142610</v>
      </c>
      <c r="H166" s="38"/>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row>
    <row r="167" spans="1:34" s="44" customFormat="1" ht="31.5">
      <c r="A167" s="35" t="s">
        <v>22</v>
      </c>
      <c r="B167" s="33" t="s">
        <v>75</v>
      </c>
      <c r="C167" s="36" t="s">
        <v>141</v>
      </c>
      <c r="D167" s="36">
        <v>240</v>
      </c>
      <c r="E167" s="40">
        <f>128349+14261</f>
        <v>142610</v>
      </c>
      <c r="F167" s="40">
        <v>0</v>
      </c>
      <c r="G167" s="25">
        <f t="shared" si="5"/>
        <v>142610</v>
      </c>
      <c r="H167" s="38"/>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row>
    <row r="168" spans="1:34" s="16" customFormat="1" ht="15.75">
      <c r="A168" s="31" t="s">
        <v>142</v>
      </c>
      <c r="B168" s="24" t="s">
        <v>75</v>
      </c>
      <c r="C168" s="26" t="s">
        <v>143</v>
      </c>
      <c r="D168" s="26"/>
      <c r="E168" s="27">
        <f>SUM(E180,E183,E169,E174,E177,E186,E193)</f>
        <v>32200000</v>
      </c>
      <c r="F168" s="27">
        <f>SUM(F180,F183,F169,F174,F177,F186,F193)</f>
        <v>-2959700</v>
      </c>
      <c r="G168" s="25">
        <f t="shared" si="5"/>
        <v>29240300</v>
      </c>
      <c r="H168" s="3"/>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s="16" customFormat="1" ht="47.25">
      <c r="A169" s="31" t="s">
        <v>144</v>
      </c>
      <c r="B169" s="24" t="s">
        <v>75</v>
      </c>
      <c r="C169" s="26" t="s">
        <v>145</v>
      </c>
      <c r="D169" s="24"/>
      <c r="E169" s="27">
        <f>E172+E170</f>
        <v>1200000</v>
      </c>
      <c r="F169" s="27">
        <f>F172+F170</f>
        <v>0</v>
      </c>
      <c r="G169" s="25">
        <f t="shared" si="5"/>
        <v>1200000</v>
      </c>
      <c r="H169" s="3"/>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s="16" customFormat="1" ht="31.5">
      <c r="A170" s="31" t="s">
        <v>93</v>
      </c>
      <c r="B170" s="24" t="s">
        <v>75</v>
      </c>
      <c r="C170" s="26" t="s">
        <v>145</v>
      </c>
      <c r="D170" s="24" t="s">
        <v>134</v>
      </c>
      <c r="E170" s="27">
        <f>E171</f>
        <v>0</v>
      </c>
      <c r="F170" s="27">
        <f>F171</f>
        <v>1200000</v>
      </c>
      <c r="G170" s="25">
        <f t="shared" si="5"/>
        <v>1200000</v>
      </c>
      <c r="H170" s="3"/>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34" s="16" customFormat="1" ht="15.75">
      <c r="A171" s="31" t="s">
        <v>94</v>
      </c>
      <c r="B171" s="24" t="s">
        <v>75</v>
      </c>
      <c r="C171" s="26" t="s">
        <v>145</v>
      </c>
      <c r="D171" s="24" t="s">
        <v>135</v>
      </c>
      <c r="E171" s="27">
        <v>0</v>
      </c>
      <c r="F171" s="27">
        <v>1200000</v>
      </c>
      <c r="G171" s="25">
        <f t="shared" si="5"/>
        <v>1200000</v>
      </c>
      <c r="H171" s="3"/>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s="16" customFormat="1" ht="15.75">
      <c r="A172" s="31" t="s">
        <v>24</v>
      </c>
      <c r="B172" s="24" t="s">
        <v>75</v>
      </c>
      <c r="C172" s="26" t="s">
        <v>145</v>
      </c>
      <c r="D172" s="24" t="s">
        <v>25</v>
      </c>
      <c r="E172" s="27">
        <f>E173</f>
        <v>1200000</v>
      </c>
      <c r="F172" s="27">
        <f>F173</f>
        <v>-1200000</v>
      </c>
      <c r="G172" s="25">
        <f t="shared" si="5"/>
        <v>0</v>
      </c>
      <c r="H172" s="3"/>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row>
    <row r="173" spans="1:34" s="16" customFormat="1" ht="15.75">
      <c r="A173" s="31" t="s">
        <v>63</v>
      </c>
      <c r="B173" s="24" t="s">
        <v>75</v>
      </c>
      <c r="C173" s="26" t="s">
        <v>145</v>
      </c>
      <c r="D173" s="24" t="s">
        <v>64</v>
      </c>
      <c r="E173" s="27">
        <v>1200000</v>
      </c>
      <c r="F173" s="27">
        <v>-1200000</v>
      </c>
      <c r="G173" s="25">
        <f t="shared" si="5"/>
        <v>0</v>
      </c>
      <c r="H173" s="3"/>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row>
    <row r="174" spans="1:34" s="16" customFormat="1" ht="78.75">
      <c r="A174" s="31" t="s">
        <v>146</v>
      </c>
      <c r="B174" s="24" t="s">
        <v>75</v>
      </c>
      <c r="C174" s="26" t="s">
        <v>147</v>
      </c>
      <c r="D174" s="24"/>
      <c r="E174" s="27">
        <f>E175</f>
        <v>27000000</v>
      </c>
      <c r="F174" s="27">
        <f>F175</f>
        <v>0</v>
      </c>
      <c r="G174" s="25">
        <f t="shared" si="5"/>
        <v>27000000</v>
      </c>
      <c r="H174" s="3"/>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s="16" customFormat="1" ht="31.5">
      <c r="A175" s="31" t="s">
        <v>93</v>
      </c>
      <c r="B175" s="24" t="s">
        <v>75</v>
      </c>
      <c r="C175" s="26" t="s">
        <v>147</v>
      </c>
      <c r="D175" s="24" t="s">
        <v>134</v>
      </c>
      <c r="E175" s="27">
        <f>E176</f>
        <v>27000000</v>
      </c>
      <c r="F175" s="27">
        <f>F176</f>
        <v>0</v>
      </c>
      <c r="G175" s="25">
        <f t="shared" si="5"/>
        <v>27000000</v>
      </c>
      <c r="H175" s="3"/>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s="16" customFormat="1" ht="15.75">
      <c r="A176" s="31" t="s">
        <v>94</v>
      </c>
      <c r="B176" s="24" t="s">
        <v>75</v>
      </c>
      <c r="C176" s="26" t="s">
        <v>147</v>
      </c>
      <c r="D176" s="24" t="s">
        <v>135</v>
      </c>
      <c r="E176" s="27">
        <v>27000000</v>
      </c>
      <c r="F176" s="27">
        <v>0</v>
      </c>
      <c r="G176" s="25">
        <f t="shared" si="5"/>
        <v>27000000</v>
      </c>
      <c r="H176" s="3"/>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s="16" customFormat="1" ht="31.5">
      <c r="A177" s="31" t="s">
        <v>148</v>
      </c>
      <c r="B177" s="24" t="s">
        <v>75</v>
      </c>
      <c r="C177" s="26" t="s">
        <v>149</v>
      </c>
      <c r="D177" s="24"/>
      <c r="E177" s="27">
        <f>E178</f>
        <v>3000000</v>
      </c>
      <c r="F177" s="27">
        <f>F178</f>
        <v>-3000000</v>
      </c>
      <c r="G177" s="25">
        <f t="shared" si="5"/>
        <v>0</v>
      </c>
      <c r="H177" s="3"/>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s="16" customFormat="1" ht="15.75">
      <c r="A178" s="31" t="s">
        <v>24</v>
      </c>
      <c r="B178" s="24" t="s">
        <v>75</v>
      </c>
      <c r="C178" s="26" t="s">
        <v>149</v>
      </c>
      <c r="D178" s="24" t="s">
        <v>25</v>
      </c>
      <c r="E178" s="27">
        <f>E179</f>
        <v>3000000</v>
      </c>
      <c r="F178" s="27">
        <f>F179</f>
        <v>-3000000</v>
      </c>
      <c r="G178" s="25">
        <f t="shared" si="5"/>
        <v>0</v>
      </c>
      <c r="H178" s="3"/>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s="16" customFormat="1" ht="15.75">
      <c r="A179" s="31" t="s">
        <v>63</v>
      </c>
      <c r="B179" s="24" t="s">
        <v>75</v>
      </c>
      <c r="C179" s="26" t="s">
        <v>149</v>
      </c>
      <c r="D179" s="24" t="s">
        <v>64</v>
      </c>
      <c r="E179" s="27">
        <v>3000000</v>
      </c>
      <c r="F179" s="27">
        <f>-2700000-300000</f>
        <v>-3000000</v>
      </c>
      <c r="G179" s="25">
        <f t="shared" si="5"/>
        <v>0</v>
      </c>
      <c r="H179" s="3"/>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s="16" customFormat="1" ht="20.25" customHeight="1">
      <c r="A180" s="31" t="s">
        <v>150</v>
      </c>
      <c r="B180" s="24" t="s">
        <v>75</v>
      </c>
      <c r="C180" s="26" t="s">
        <v>151</v>
      </c>
      <c r="D180" s="26"/>
      <c r="E180" s="27">
        <f>E181</f>
        <v>400000</v>
      </c>
      <c r="F180" s="27">
        <f>F181</f>
        <v>0</v>
      </c>
      <c r="G180" s="25">
        <f t="shared" si="5"/>
        <v>400000</v>
      </c>
      <c r="H180" s="3"/>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s="65" customFormat="1" ht="31.5">
      <c r="A181" s="28" t="s">
        <v>20</v>
      </c>
      <c r="B181" s="24" t="s">
        <v>75</v>
      </c>
      <c r="C181" s="26" t="s">
        <v>151</v>
      </c>
      <c r="D181" s="26">
        <v>200</v>
      </c>
      <c r="E181" s="27">
        <f>E182</f>
        <v>400000</v>
      </c>
      <c r="F181" s="27">
        <f>F182</f>
        <v>0</v>
      </c>
      <c r="G181" s="25">
        <f t="shared" si="5"/>
        <v>400000</v>
      </c>
      <c r="H181" s="63"/>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row>
    <row r="182" spans="1:34" s="16" customFormat="1" ht="31.5">
      <c r="A182" s="28" t="s">
        <v>22</v>
      </c>
      <c r="B182" s="24" t="s">
        <v>75</v>
      </c>
      <c r="C182" s="26" t="s">
        <v>151</v>
      </c>
      <c r="D182" s="26">
        <v>240</v>
      </c>
      <c r="E182" s="27">
        <v>400000</v>
      </c>
      <c r="F182" s="27">
        <v>0</v>
      </c>
      <c r="G182" s="25">
        <f t="shared" si="5"/>
        <v>400000</v>
      </c>
      <c r="H182" s="3"/>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s="16" customFormat="1" ht="15.75">
      <c r="A183" s="31" t="s">
        <v>152</v>
      </c>
      <c r="B183" s="24" t="s">
        <v>75</v>
      </c>
      <c r="C183" s="26" t="s">
        <v>153</v>
      </c>
      <c r="D183" s="26"/>
      <c r="E183" s="27">
        <f>E184</f>
        <v>500000</v>
      </c>
      <c r="F183" s="27">
        <f>F184</f>
        <v>0</v>
      </c>
      <c r="G183" s="25">
        <f t="shared" si="5"/>
        <v>500000</v>
      </c>
      <c r="H183" s="3"/>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s="16" customFormat="1" ht="15.75">
      <c r="A184" s="28" t="s">
        <v>24</v>
      </c>
      <c r="B184" s="24" t="s">
        <v>75</v>
      </c>
      <c r="C184" s="26" t="s">
        <v>153</v>
      </c>
      <c r="D184" s="26">
        <v>800</v>
      </c>
      <c r="E184" s="27">
        <f>E185</f>
        <v>500000</v>
      </c>
      <c r="F184" s="27">
        <f>F185</f>
        <v>0</v>
      </c>
      <c r="G184" s="25">
        <f t="shared" si="5"/>
        <v>500000</v>
      </c>
      <c r="H184" s="3"/>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s="16" customFormat="1" ht="15.75">
      <c r="A185" s="31" t="s">
        <v>152</v>
      </c>
      <c r="B185" s="24" t="s">
        <v>75</v>
      </c>
      <c r="C185" s="26" t="s">
        <v>153</v>
      </c>
      <c r="D185" s="26">
        <v>830</v>
      </c>
      <c r="E185" s="27">
        <v>500000</v>
      </c>
      <c r="F185" s="27">
        <v>0</v>
      </c>
      <c r="G185" s="25">
        <f t="shared" si="5"/>
        <v>500000</v>
      </c>
      <c r="H185" s="3"/>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s="16" customFormat="1" ht="63.75" customHeight="1">
      <c r="A186" s="31" t="s">
        <v>154</v>
      </c>
      <c r="B186" s="24" t="s">
        <v>75</v>
      </c>
      <c r="C186" s="26" t="s">
        <v>155</v>
      </c>
      <c r="D186" s="26"/>
      <c r="E186" s="27">
        <f>E191+E187+E189</f>
        <v>100000</v>
      </c>
      <c r="F186" s="27">
        <f>F191+F187+F189</f>
        <v>0</v>
      </c>
      <c r="G186" s="25">
        <f t="shared" si="5"/>
        <v>100000</v>
      </c>
      <c r="H186" s="3"/>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s="16" customFormat="1" ht="34.5" customHeight="1">
      <c r="A187" s="28" t="s">
        <v>20</v>
      </c>
      <c r="B187" s="24" t="s">
        <v>75</v>
      </c>
      <c r="C187" s="26" t="s">
        <v>155</v>
      </c>
      <c r="D187" s="26">
        <v>200</v>
      </c>
      <c r="E187" s="27">
        <f>E188</f>
        <v>0</v>
      </c>
      <c r="F187" s="27">
        <f>F188</f>
        <v>991</v>
      </c>
      <c r="G187" s="25">
        <f t="shared" si="5"/>
        <v>991</v>
      </c>
      <c r="H187" s="3"/>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s="16" customFormat="1" ht="30.75" customHeight="1">
      <c r="A188" s="28" t="s">
        <v>22</v>
      </c>
      <c r="B188" s="24" t="s">
        <v>75</v>
      </c>
      <c r="C188" s="26" t="s">
        <v>155</v>
      </c>
      <c r="D188" s="26">
        <v>240</v>
      </c>
      <c r="E188" s="27">
        <v>0</v>
      </c>
      <c r="F188" s="27">
        <v>991</v>
      </c>
      <c r="G188" s="25">
        <f t="shared" si="5"/>
        <v>991</v>
      </c>
      <c r="H188" s="3"/>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s="16" customFormat="1" ht="19.5" customHeight="1">
      <c r="A189" s="31" t="s">
        <v>156</v>
      </c>
      <c r="B189" s="24" t="s">
        <v>75</v>
      </c>
      <c r="C189" s="26" t="s">
        <v>155</v>
      </c>
      <c r="D189" s="26">
        <v>300</v>
      </c>
      <c r="E189" s="27">
        <f>E190</f>
        <v>0</v>
      </c>
      <c r="F189" s="27">
        <f>F190</f>
        <v>99009</v>
      </c>
      <c r="G189" s="25">
        <f t="shared" si="5"/>
        <v>99009</v>
      </c>
      <c r="H189" s="3"/>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row>
    <row r="190" spans="1:34" s="16" customFormat="1" ht="33.75" customHeight="1">
      <c r="A190" s="31" t="s">
        <v>157</v>
      </c>
      <c r="B190" s="24" t="s">
        <v>75</v>
      </c>
      <c r="C190" s="26" t="s">
        <v>155</v>
      </c>
      <c r="D190" s="26">
        <v>320</v>
      </c>
      <c r="E190" s="27">
        <v>0</v>
      </c>
      <c r="F190" s="27">
        <v>99009</v>
      </c>
      <c r="G190" s="25">
        <f t="shared" si="5"/>
        <v>99009</v>
      </c>
      <c r="H190" s="3"/>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s="16" customFormat="1" ht="15.75">
      <c r="A191" s="28" t="s">
        <v>24</v>
      </c>
      <c r="B191" s="24" t="s">
        <v>75</v>
      </c>
      <c r="C191" s="26" t="s">
        <v>155</v>
      </c>
      <c r="D191" s="26">
        <v>800</v>
      </c>
      <c r="E191" s="27">
        <f>E192</f>
        <v>100000</v>
      </c>
      <c r="F191" s="27">
        <f>F192</f>
        <v>-100000</v>
      </c>
      <c r="G191" s="25">
        <f t="shared" si="5"/>
        <v>0</v>
      </c>
      <c r="H191" s="3"/>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s="16" customFormat="1" ht="15.75">
      <c r="A192" s="31" t="s">
        <v>63</v>
      </c>
      <c r="B192" s="24" t="s">
        <v>75</v>
      </c>
      <c r="C192" s="26" t="s">
        <v>155</v>
      </c>
      <c r="D192" s="26">
        <v>880</v>
      </c>
      <c r="E192" s="27">
        <v>100000</v>
      </c>
      <c r="F192" s="27">
        <v>-100000</v>
      </c>
      <c r="G192" s="25">
        <f t="shared" si="5"/>
        <v>0</v>
      </c>
      <c r="H192" s="3"/>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s="16" customFormat="1" ht="48" customHeight="1">
      <c r="A193" s="31" t="s">
        <v>158</v>
      </c>
      <c r="B193" s="24" t="s">
        <v>75</v>
      </c>
      <c r="C193" s="26" t="s">
        <v>159</v>
      </c>
      <c r="D193" s="26"/>
      <c r="E193" s="27">
        <f>E194</f>
        <v>0</v>
      </c>
      <c r="F193" s="27">
        <f>F194</f>
        <v>40300</v>
      </c>
      <c r="G193" s="25">
        <f t="shared" si="5"/>
        <v>40300</v>
      </c>
      <c r="H193" s="3"/>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s="16" customFormat="1" ht="31.5">
      <c r="A194" s="28" t="s">
        <v>20</v>
      </c>
      <c r="B194" s="24" t="s">
        <v>75</v>
      </c>
      <c r="C194" s="26" t="s">
        <v>159</v>
      </c>
      <c r="D194" s="26">
        <v>200</v>
      </c>
      <c r="E194" s="27">
        <f>E195</f>
        <v>0</v>
      </c>
      <c r="F194" s="27">
        <f>F195</f>
        <v>40300</v>
      </c>
      <c r="G194" s="25">
        <f t="shared" si="5"/>
        <v>40300</v>
      </c>
      <c r="H194" s="3"/>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s="16" customFormat="1" ht="31.5">
      <c r="A195" s="28" t="s">
        <v>22</v>
      </c>
      <c r="B195" s="24" t="s">
        <v>75</v>
      </c>
      <c r="C195" s="26" t="s">
        <v>159</v>
      </c>
      <c r="D195" s="26">
        <v>240</v>
      </c>
      <c r="E195" s="27">
        <v>0</v>
      </c>
      <c r="F195" s="27">
        <v>40300</v>
      </c>
      <c r="G195" s="25">
        <f t="shared" si="5"/>
        <v>40300</v>
      </c>
      <c r="H195" s="3"/>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s="16" customFormat="1" ht="31.5">
      <c r="A196" s="17" t="s">
        <v>160</v>
      </c>
      <c r="B196" s="18" t="s">
        <v>161</v>
      </c>
      <c r="C196" s="26"/>
      <c r="D196" s="26"/>
      <c r="E196" s="66">
        <f>SUM(E197,E205)</f>
        <v>36213220</v>
      </c>
      <c r="F196" s="66">
        <f>SUM(F197,F205)</f>
        <v>1418000</v>
      </c>
      <c r="G196" s="19">
        <f t="shared" si="5"/>
        <v>37631220</v>
      </c>
      <c r="H196" s="3"/>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s="16" customFormat="1" ht="15.75">
      <c r="A197" s="20" t="s">
        <v>162</v>
      </c>
      <c r="B197" s="21" t="s">
        <v>163</v>
      </c>
      <c r="C197" s="46"/>
      <c r="D197" s="46"/>
      <c r="E197" s="47">
        <f aca="true" t="shared" si="6" ref="E197:F199">E198</f>
        <v>4628220</v>
      </c>
      <c r="F197" s="47">
        <f t="shared" si="6"/>
        <v>0</v>
      </c>
      <c r="G197" s="22">
        <f t="shared" si="5"/>
        <v>4628220</v>
      </c>
      <c r="H197" s="3"/>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s="16" customFormat="1" ht="15.75">
      <c r="A198" s="30" t="s">
        <v>30</v>
      </c>
      <c r="B198" s="24" t="s">
        <v>163</v>
      </c>
      <c r="C198" s="26" t="s">
        <v>31</v>
      </c>
      <c r="D198" s="21"/>
      <c r="E198" s="27">
        <f t="shared" si="6"/>
        <v>4628220</v>
      </c>
      <c r="F198" s="27">
        <f t="shared" si="6"/>
        <v>0</v>
      </c>
      <c r="G198" s="25">
        <f t="shared" si="5"/>
        <v>4628220</v>
      </c>
      <c r="H198" s="3"/>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s="16" customFormat="1" ht="31.5">
      <c r="A199" s="31" t="s">
        <v>32</v>
      </c>
      <c r="B199" s="24" t="s">
        <v>163</v>
      </c>
      <c r="C199" s="26" t="s">
        <v>33</v>
      </c>
      <c r="D199" s="26"/>
      <c r="E199" s="27">
        <f t="shared" si="6"/>
        <v>4628220</v>
      </c>
      <c r="F199" s="27">
        <f t="shared" si="6"/>
        <v>0</v>
      </c>
      <c r="G199" s="25">
        <f aca="true" t="shared" si="7" ref="G199:G262">SUM(E199:F199)</f>
        <v>4628220</v>
      </c>
      <c r="H199" s="3"/>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s="44" customFormat="1" ht="31.5">
      <c r="A200" s="35" t="s">
        <v>164</v>
      </c>
      <c r="B200" s="33" t="s">
        <v>163</v>
      </c>
      <c r="C200" s="36" t="s">
        <v>165</v>
      </c>
      <c r="D200" s="33"/>
      <c r="E200" s="37">
        <f>E201+E203</f>
        <v>4628220</v>
      </c>
      <c r="F200" s="37">
        <f>F201+F203</f>
        <v>0</v>
      </c>
      <c r="G200" s="25">
        <f t="shared" si="7"/>
        <v>4628220</v>
      </c>
      <c r="H200" s="38"/>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row>
    <row r="201" spans="1:34" s="44" customFormat="1" ht="78.75">
      <c r="A201" s="34" t="s">
        <v>16</v>
      </c>
      <c r="B201" s="33" t="s">
        <v>163</v>
      </c>
      <c r="C201" s="36" t="s">
        <v>165</v>
      </c>
      <c r="D201" s="33" t="s">
        <v>17</v>
      </c>
      <c r="E201" s="37">
        <f>E202</f>
        <v>3892220</v>
      </c>
      <c r="F201" s="37">
        <f>F202</f>
        <v>-178956.84</v>
      </c>
      <c r="G201" s="25">
        <f t="shared" si="7"/>
        <v>3713263.16</v>
      </c>
      <c r="H201" s="38"/>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row>
    <row r="202" spans="1:34" s="44" customFormat="1" ht="31.5">
      <c r="A202" s="34" t="s">
        <v>18</v>
      </c>
      <c r="B202" s="33" t="s">
        <v>163</v>
      </c>
      <c r="C202" s="36" t="s">
        <v>165</v>
      </c>
      <c r="D202" s="33" t="s">
        <v>19</v>
      </c>
      <c r="E202" s="37">
        <v>3892220</v>
      </c>
      <c r="F202" s="37">
        <f>-29162.32-88311.37-50000-11483.15</f>
        <v>-178956.84</v>
      </c>
      <c r="G202" s="25">
        <f t="shared" si="7"/>
        <v>3713263.16</v>
      </c>
      <c r="H202" s="38"/>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row>
    <row r="203" spans="1:34" s="44" customFormat="1" ht="31.5">
      <c r="A203" s="35" t="s">
        <v>20</v>
      </c>
      <c r="B203" s="33" t="s">
        <v>163</v>
      </c>
      <c r="C203" s="36" t="s">
        <v>165</v>
      </c>
      <c r="D203" s="33" t="s">
        <v>21</v>
      </c>
      <c r="E203" s="37">
        <f>E204</f>
        <v>736000</v>
      </c>
      <c r="F203" s="37">
        <f>F204</f>
        <v>178956.84</v>
      </c>
      <c r="G203" s="25">
        <f t="shared" si="7"/>
        <v>914956.84</v>
      </c>
      <c r="H203" s="38"/>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row>
    <row r="204" spans="1:34" s="44" customFormat="1" ht="31.5">
      <c r="A204" s="34" t="s">
        <v>22</v>
      </c>
      <c r="B204" s="33" t="s">
        <v>163</v>
      </c>
      <c r="C204" s="36" t="s">
        <v>165</v>
      </c>
      <c r="D204" s="33" t="s">
        <v>23</v>
      </c>
      <c r="E204" s="37">
        <v>736000</v>
      </c>
      <c r="F204" s="37">
        <f>29162.32+88311.37+50000+11483.15</f>
        <v>178956.84</v>
      </c>
      <c r="G204" s="25">
        <f t="shared" si="7"/>
        <v>914956.84</v>
      </c>
      <c r="H204" s="38"/>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row>
    <row r="205" spans="1:34" s="16" customFormat="1" ht="47.25">
      <c r="A205" s="20" t="s">
        <v>166</v>
      </c>
      <c r="B205" s="21" t="s">
        <v>167</v>
      </c>
      <c r="C205" s="26"/>
      <c r="D205" s="26"/>
      <c r="E205" s="47">
        <f>SUM(E206)</f>
        <v>31585000</v>
      </c>
      <c r="F205" s="47">
        <f>SUM(F206)</f>
        <v>1418000</v>
      </c>
      <c r="G205" s="22">
        <f t="shared" si="7"/>
        <v>33003000</v>
      </c>
      <c r="H205" s="3"/>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s="16" customFormat="1" ht="31.5">
      <c r="A206" s="31" t="s">
        <v>168</v>
      </c>
      <c r="B206" s="24" t="s">
        <v>167</v>
      </c>
      <c r="C206" s="26" t="s">
        <v>96</v>
      </c>
      <c r="D206" s="26"/>
      <c r="E206" s="27">
        <f>E207</f>
        <v>31585000</v>
      </c>
      <c r="F206" s="27">
        <f>F207</f>
        <v>1418000</v>
      </c>
      <c r="G206" s="25">
        <f t="shared" si="7"/>
        <v>33003000</v>
      </c>
      <c r="H206" s="3"/>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s="16" customFormat="1" ht="31.5">
      <c r="A207" s="61" t="s">
        <v>169</v>
      </c>
      <c r="B207" s="24" t="s">
        <v>167</v>
      </c>
      <c r="C207" s="26" t="s">
        <v>170</v>
      </c>
      <c r="D207" s="26"/>
      <c r="E207" s="49">
        <f>E208+E215</f>
        <v>31585000</v>
      </c>
      <c r="F207" s="49">
        <f>F208+F215</f>
        <v>1418000</v>
      </c>
      <c r="G207" s="25">
        <f t="shared" si="7"/>
        <v>33003000</v>
      </c>
      <c r="H207" s="3"/>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s="16" customFormat="1" ht="63">
      <c r="A208" s="61" t="s">
        <v>171</v>
      </c>
      <c r="B208" s="24" t="s">
        <v>167</v>
      </c>
      <c r="C208" s="26" t="s">
        <v>172</v>
      </c>
      <c r="D208" s="26"/>
      <c r="E208" s="49">
        <f>SUM(E209,E211,E213)</f>
        <v>30755000</v>
      </c>
      <c r="F208" s="49">
        <f>SUM(F209,F211,F213)</f>
        <v>1418000</v>
      </c>
      <c r="G208" s="25">
        <f t="shared" si="7"/>
        <v>32173000</v>
      </c>
      <c r="H208" s="3"/>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s="16" customFormat="1" ht="67.5" customHeight="1">
      <c r="A209" s="23" t="s">
        <v>16</v>
      </c>
      <c r="B209" s="24" t="s">
        <v>167</v>
      </c>
      <c r="C209" s="26" t="s">
        <v>172</v>
      </c>
      <c r="D209" s="26">
        <v>100</v>
      </c>
      <c r="E209" s="49">
        <f>E210</f>
        <v>26500000</v>
      </c>
      <c r="F209" s="49">
        <f>F210</f>
        <v>0</v>
      </c>
      <c r="G209" s="25">
        <f t="shared" si="7"/>
        <v>26500000</v>
      </c>
      <c r="H209" s="3"/>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s="16" customFormat="1" ht="15.75">
      <c r="A210" s="23" t="s">
        <v>86</v>
      </c>
      <c r="B210" s="24" t="s">
        <v>167</v>
      </c>
      <c r="C210" s="26" t="s">
        <v>172</v>
      </c>
      <c r="D210" s="26">
        <v>110</v>
      </c>
      <c r="E210" s="49">
        <v>26500000</v>
      </c>
      <c r="F210" s="49"/>
      <c r="G210" s="25">
        <f t="shared" si="7"/>
        <v>26500000</v>
      </c>
      <c r="H210" s="3"/>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s="16" customFormat="1" ht="31.5">
      <c r="A211" s="28" t="s">
        <v>20</v>
      </c>
      <c r="B211" s="24" t="s">
        <v>167</v>
      </c>
      <c r="C211" s="26" t="s">
        <v>172</v>
      </c>
      <c r="D211" s="26">
        <v>200</v>
      </c>
      <c r="E211" s="49">
        <f>E212</f>
        <v>4200000</v>
      </c>
      <c r="F211" s="49">
        <f>F212</f>
        <v>1418000</v>
      </c>
      <c r="G211" s="25">
        <f t="shared" si="7"/>
        <v>5618000</v>
      </c>
      <c r="H211" s="3"/>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s="16" customFormat="1" ht="31.5">
      <c r="A212" s="28" t="s">
        <v>22</v>
      </c>
      <c r="B212" s="24" t="s">
        <v>167</v>
      </c>
      <c r="C212" s="26" t="s">
        <v>172</v>
      </c>
      <c r="D212" s="26">
        <v>240</v>
      </c>
      <c r="E212" s="49">
        <v>4200000</v>
      </c>
      <c r="F212" s="49">
        <v>1418000</v>
      </c>
      <c r="G212" s="25">
        <f t="shared" si="7"/>
        <v>5618000</v>
      </c>
      <c r="H212" s="3"/>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s="16" customFormat="1" ht="15.75">
      <c r="A213" s="28" t="s">
        <v>24</v>
      </c>
      <c r="B213" s="24" t="s">
        <v>167</v>
      </c>
      <c r="C213" s="26" t="s">
        <v>172</v>
      </c>
      <c r="D213" s="26">
        <v>800</v>
      </c>
      <c r="E213" s="49">
        <f>E214</f>
        <v>55000</v>
      </c>
      <c r="F213" s="49">
        <f>F214</f>
        <v>0</v>
      </c>
      <c r="G213" s="25">
        <f t="shared" si="7"/>
        <v>55000</v>
      </c>
      <c r="H213" s="3"/>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s="16" customFormat="1" ht="15.75">
      <c r="A214" s="28" t="s">
        <v>26</v>
      </c>
      <c r="B214" s="24" t="s">
        <v>167</v>
      </c>
      <c r="C214" s="26" t="s">
        <v>172</v>
      </c>
      <c r="D214" s="26">
        <v>850</v>
      </c>
      <c r="E214" s="49">
        <v>55000</v>
      </c>
      <c r="F214" s="49">
        <v>0</v>
      </c>
      <c r="G214" s="25">
        <f t="shared" si="7"/>
        <v>55000</v>
      </c>
      <c r="H214" s="3"/>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s="16" customFormat="1" ht="31.5">
      <c r="A215" s="61" t="s">
        <v>173</v>
      </c>
      <c r="B215" s="24" t="s">
        <v>167</v>
      </c>
      <c r="C215" s="26" t="s">
        <v>174</v>
      </c>
      <c r="D215" s="26"/>
      <c r="E215" s="49">
        <f>E216</f>
        <v>830000</v>
      </c>
      <c r="F215" s="49">
        <f>F216</f>
        <v>0</v>
      </c>
      <c r="G215" s="25">
        <f t="shared" si="7"/>
        <v>830000</v>
      </c>
      <c r="H215" s="3"/>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s="16" customFormat="1" ht="31.5">
      <c r="A216" s="28" t="s">
        <v>20</v>
      </c>
      <c r="B216" s="24" t="s">
        <v>167</v>
      </c>
      <c r="C216" s="26" t="s">
        <v>174</v>
      </c>
      <c r="D216" s="26">
        <v>200</v>
      </c>
      <c r="E216" s="49">
        <f>E217</f>
        <v>830000</v>
      </c>
      <c r="F216" s="49">
        <f>F217</f>
        <v>0</v>
      </c>
      <c r="G216" s="25">
        <f t="shared" si="7"/>
        <v>830000</v>
      </c>
      <c r="H216" s="3"/>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s="16" customFormat="1" ht="31.5">
      <c r="A217" s="28" t="s">
        <v>22</v>
      </c>
      <c r="B217" s="24" t="s">
        <v>167</v>
      </c>
      <c r="C217" s="26" t="s">
        <v>174</v>
      </c>
      <c r="D217" s="26">
        <v>240</v>
      </c>
      <c r="E217" s="49">
        <v>830000</v>
      </c>
      <c r="F217" s="49">
        <v>0</v>
      </c>
      <c r="G217" s="25">
        <f t="shared" si="7"/>
        <v>830000</v>
      </c>
      <c r="H217" s="3"/>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s="16" customFormat="1" ht="15.75">
      <c r="A218" s="17" t="s">
        <v>175</v>
      </c>
      <c r="B218" s="18" t="s">
        <v>176</v>
      </c>
      <c r="C218" s="59"/>
      <c r="D218" s="59"/>
      <c r="E218" s="66">
        <f>SUM(E230,E219,E283,E277)</f>
        <v>756390327.1</v>
      </c>
      <c r="F218" s="66">
        <f>SUM(F230,F219,F283,F277)</f>
        <v>64672005.23</v>
      </c>
      <c r="G218" s="19">
        <f t="shared" si="7"/>
        <v>821062332.33</v>
      </c>
      <c r="H218" s="3"/>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s="16" customFormat="1" ht="15.75">
      <c r="A219" s="20" t="s">
        <v>177</v>
      </c>
      <c r="B219" s="21" t="s">
        <v>178</v>
      </c>
      <c r="C219" s="59"/>
      <c r="D219" s="59"/>
      <c r="E219" s="47">
        <f>E220</f>
        <v>50000000</v>
      </c>
      <c r="F219" s="47">
        <f>F220</f>
        <v>30015100</v>
      </c>
      <c r="G219" s="22">
        <f t="shared" si="7"/>
        <v>80015100</v>
      </c>
      <c r="H219" s="3"/>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s="16" customFormat="1" ht="15.75">
      <c r="A220" s="30" t="s">
        <v>30</v>
      </c>
      <c r="B220" s="24" t="s">
        <v>178</v>
      </c>
      <c r="C220" s="26" t="s">
        <v>31</v>
      </c>
      <c r="D220" s="21"/>
      <c r="E220" s="25">
        <f>E221</f>
        <v>50000000</v>
      </c>
      <c r="F220" s="25">
        <f>F221</f>
        <v>30015100</v>
      </c>
      <c r="G220" s="25">
        <f t="shared" si="7"/>
        <v>80015100</v>
      </c>
      <c r="H220" s="3"/>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s="16" customFormat="1" ht="31.5">
      <c r="A221" s="31" t="s">
        <v>59</v>
      </c>
      <c r="B221" s="24" t="s">
        <v>178</v>
      </c>
      <c r="C221" s="26" t="s">
        <v>60</v>
      </c>
      <c r="D221" s="26"/>
      <c r="E221" s="27">
        <f>E222+E227</f>
        <v>50000000</v>
      </c>
      <c r="F221" s="27">
        <f>F222+F227</f>
        <v>30015100</v>
      </c>
      <c r="G221" s="25">
        <f t="shared" si="7"/>
        <v>80015100</v>
      </c>
      <c r="H221" s="3"/>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s="3" customFormat="1" ht="15.75">
      <c r="A222" s="31" t="s">
        <v>179</v>
      </c>
      <c r="B222" s="24" t="s">
        <v>178</v>
      </c>
      <c r="C222" s="26" t="s">
        <v>180</v>
      </c>
      <c r="D222" s="26"/>
      <c r="E222" s="27">
        <f>E225+E223</f>
        <v>50000000</v>
      </c>
      <c r="F222" s="27">
        <f>F225+F223</f>
        <v>24515100</v>
      </c>
      <c r="G222" s="25">
        <f t="shared" si="7"/>
        <v>74515100</v>
      </c>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row>
    <row r="223" spans="1:34" s="3" customFormat="1" ht="31.5">
      <c r="A223" s="28" t="s">
        <v>20</v>
      </c>
      <c r="B223" s="24" t="s">
        <v>178</v>
      </c>
      <c r="C223" s="26" t="s">
        <v>180</v>
      </c>
      <c r="D223" s="26">
        <v>200</v>
      </c>
      <c r="E223" s="27">
        <f>E224</f>
        <v>0</v>
      </c>
      <c r="F223" s="27">
        <f>F224</f>
        <v>15100</v>
      </c>
      <c r="G223" s="25">
        <f t="shared" si="7"/>
        <v>15100</v>
      </c>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row>
    <row r="224" spans="1:34" s="3" customFormat="1" ht="31.5">
      <c r="A224" s="28" t="s">
        <v>22</v>
      </c>
      <c r="B224" s="24" t="s">
        <v>178</v>
      </c>
      <c r="C224" s="26" t="s">
        <v>180</v>
      </c>
      <c r="D224" s="26">
        <v>240</v>
      </c>
      <c r="E224" s="27">
        <v>0</v>
      </c>
      <c r="F224" s="27">
        <v>15100</v>
      </c>
      <c r="G224" s="25">
        <f t="shared" si="7"/>
        <v>15100</v>
      </c>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row>
    <row r="225" spans="1:34" s="16" customFormat="1" ht="15.75">
      <c r="A225" s="28" t="s">
        <v>24</v>
      </c>
      <c r="B225" s="24" t="s">
        <v>178</v>
      </c>
      <c r="C225" s="26" t="s">
        <v>180</v>
      </c>
      <c r="D225" s="26">
        <v>800</v>
      </c>
      <c r="E225" s="27">
        <f>E226</f>
        <v>50000000</v>
      </c>
      <c r="F225" s="27">
        <f>F226</f>
        <v>24500000</v>
      </c>
      <c r="G225" s="25">
        <f t="shared" si="7"/>
        <v>74500000</v>
      </c>
      <c r="H225" s="3"/>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s="16" customFormat="1" ht="47.25">
      <c r="A226" s="31" t="s">
        <v>181</v>
      </c>
      <c r="B226" s="24" t="s">
        <v>178</v>
      </c>
      <c r="C226" s="26" t="s">
        <v>180</v>
      </c>
      <c r="D226" s="26">
        <v>810</v>
      </c>
      <c r="E226" s="27">
        <v>50000000</v>
      </c>
      <c r="F226" s="27">
        <f>-5500000+30000000</f>
        <v>24500000</v>
      </c>
      <c r="G226" s="25">
        <f t="shared" si="7"/>
        <v>74500000</v>
      </c>
      <c r="H226" s="3"/>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s="16" customFormat="1" ht="48" customHeight="1">
      <c r="A227" s="31" t="s">
        <v>182</v>
      </c>
      <c r="B227" s="24" t="s">
        <v>178</v>
      </c>
      <c r="C227" s="26" t="s">
        <v>183</v>
      </c>
      <c r="D227" s="26"/>
      <c r="E227" s="27">
        <f>E228</f>
        <v>0</v>
      </c>
      <c r="F227" s="27">
        <f>F228</f>
        <v>5500000</v>
      </c>
      <c r="G227" s="25">
        <f t="shared" si="7"/>
        <v>5500000</v>
      </c>
      <c r="H227" s="3"/>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s="16" customFormat="1" ht="15.75">
      <c r="A228" s="28" t="s">
        <v>24</v>
      </c>
      <c r="B228" s="24" t="s">
        <v>178</v>
      </c>
      <c r="C228" s="26" t="s">
        <v>183</v>
      </c>
      <c r="D228" s="26">
        <v>800</v>
      </c>
      <c r="E228" s="27">
        <f>E229</f>
        <v>0</v>
      </c>
      <c r="F228" s="27">
        <f>F229</f>
        <v>5500000</v>
      </c>
      <c r="G228" s="25">
        <f t="shared" si="7"/>
        <v>5500000</v>
      </c>
      <c r="H228" s="3"/>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s="16" customFormat="1" ht="47.25">
      <c r="A229" s="31" t="s">
        <v>181</v>
      </c>
      <c r="B229" s="24" t="s">
        <v>178</v>
      </c>
      <c r="C229" s="26" t="s">
        <v>183</v>
      </c>
      <c r="D229" s="26">
        <v>810</v>
      </c>
      <c r="E229" s="27">
        <v>0</v>
      </c>
      <c r="F229" s="27">
        <v>5500000</v>
      </c>
      <c r="G229" s="25">
        <f t="shared" si="7"/>
        <v>5500000</v>
      </c>
      <c r="H229" s="3"/>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s="16" customFormat="1" ht="15.75">
      <c r="A230" s="20" t="s">
        <v>184</v>
      </c>
      <c r="B230" s="67" t="s">
        <v>185</v>
      </c>
      <c r="C230" s="59"/>
      <c r="D230" s="59"/>
      <c r="E230" s="47">
        <f>E236+E231</f>
        <v>681876948.76</v>
      </c>
      <c r="F230" s="47">
        <f>F236+F231</f>
        <v>30056905.229999997</v>
      </c>
      <c r="G230" s="22">
        <f t="shared" si="7"/>
        <v>711933853.99</v>
      </c>
      <c r="H230" s="3"/>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s="16" customFormat="1" ht="31.5">
      <c r="A231" s="23" t="s">
        <v>186</v>
      </c>
      <c r="B231" s="60" t="s">
        <v>185</v>
      </c>
      <c r="C231" s="24" t="s">
        <v>187</v>
      </c>
      <c r="D231" s="24"/>
      <c r="E231" s="27">
        <f aca="true" t="shared" si="8" ref="E231:F234">E232</f>
        <v>300000</v>
      </c>
      <c r="F231" s="27">
        <f t="shared" si="8"/>
        <v>0</v>
      </c>
      <c r="G231" s="25">
        <f t="shared" si="7"/>
        <v>300000</v>
      </c>
      <c r="H231" s="3"/>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s="16" customFormat="1" ht="15.75">
      <c r="A232" s="68" t="s">
        <v>188</v>
      </c>
      <c r="B232" s="60" t="s">
        <v>185</v>
      </c>
      <c r="C232" s="24" t="s">
        <v>189</v>
      </c>
      <c r="D232" s="24"/>
      <c r="E232" s="27">
        <f t="shared" si="8"/>
        <v>300000</v>
      </c>
      <c r="F232" s="27">
        <f t="shared" si="8"/>
        <v>0</v>
      </c>
      <c r="G232" s="25">
        <f t="shared" si="7"/>
        <v>300000</v>
      </c>
      <c r="H232" s="3"/>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s="16" customFormat="1" ht="31.5">
      <c r="A233" s="23" t="s">
        <v>190</v>
      </c>
      <c r="B233" s="60" t="s">
        <v>185</v>
      </c>
      <c r="C233" s="26" t="s">
        <v>191</v>
      </c>
      <c r="D233" s="24"/>
      <c r="E233" s="27">
        <f t="shared" si="8"/>
        <v>300000</v>
      </c>
      <c r="F233" s="27">
        <f t="shared" si="8"/>
        <v>0</v>
      </c>
      <c r="G233" s="25">
        <f t="shared" si="7"/>
        <v>300000</v>
      </c>
      <c r="H233" s="3"/>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s="16" customFormat="1" ht="31.5">
      <c r="A234" s="28" t="s">
        <v>20</v>
      </c>
      <c r="B234" s="60" t="s">
        <v>185</v>
      </c>
      <c r="C234" s="26" t="s">
        <v>191</v>
      </c>
      <c r="D234" s="24" t="s">
        <v>21</v>
      </c>
      <c r="E234" s="27">
        <f t="shared" si="8"/>
        <v>300000</v>
      </c>
      <c r="F234" s="27">
        <f t="shared" si="8"/>
        <v>0</v>
      </c>
      <c r="G234" s="25">
        <f t="shared" si="7"/>
        <v>300000</v>
      </c>
      <c r="H234" s="3"/>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s="16" customFormat="1" ht="31.5">
      <c r="A235" s="28" t="s">
        <v>22</v>
      </c>
      <c r="B235" s="60" t="s">
        <v>185</v>
      </c>
      <c r="C235" s="26" t="s">
        <v>191</v>
      </c>
      <c r="D235" s="24" t="s">
        <v>23</v>
      </c>
      <c r="E235" s="27">
        <v>300000</v>
      </c>
      <c r="F235" s="27">
        <v>0</v>
      </c>
      <c r="G235" s="25">
        <f t="shared" si="7"/>
        <v>300000</v>
      </c>
      <c r="H235" s="3"/>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s="16" customFormat="1" ht="31.5">
      <c r="A236" s="31" t="s">
        <v>192</v>
      </c>
      <c r="B236" s="60" t="s">
        <v>185</v>
      </c>
      <c r="C236" s="26" t="s">
        <v>193</v>
      </c>
      <c r="D236" s="26"/>
      <c r="E236" s="27">
        <f>SUM(E237,E242,E245,E248,E253,E259,E265,E274,E268,E262,E256,E271)</f>
        <v>681576948.76</v>
      </c>
      <c r="F236" s="27">
        <f>SUM(F237,F242,F245,F248,F253,F259,F265,F274,F268,F262,F256,F271)</f>
        <v>30056905.229999997</v>
      </c>
      <c r="G236" s="25">
        <f t="shared" si="7"/>
        <v>711633853.99</v>
      </c>
      <c r="H236" s="3"/>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s="16" customFormat="1" ht="22.5" customHeight="1">
      <c r="A237" s="31" t="s">
        <v>194</v>
      </c>
      <c r="B237" s="60" t="s">
        <v>185</v>
      </c>
      <c r="C237" s="26" t="s">
        <v>195</v>
      </c>
      <c r="D237" s="26"/>
      <c r="E237" s="27">
        <f>E240+E238</f>
        <v>30455690</v>
      </c>
      <c r="F237" s="27">
        <f>F240+F238</f>
        <v>10695006.95</v>
      </c>
      <c r="G237" s="25">
        <f t="shared" si="7"/>
        <v>41150696.95</v>
      </c>
      <c r="H237" s="3"/>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s="16" customFormat="1" ht="31.5">
      <c r="A238" s="28" t="s">
        <v>20</v>
      </c>
      <c r="B238" s="60" t="s">
        <v>185</v>
      </c>
      <c r="C238" s="26" t="s">
        <v>195</v>
      </c>
      <c r="D238" s="26">
        <v>200</v>
      </c>
      <c r="E238" s="27">
        <f>E239</f>
        <v>20455690</v>
      </c>
      <c r="F238" s="27">
        <f>F239</f>
        <v>10695006.95</v>
      </c>
      <c r="G238" s="25">
        <f t="shared" si="7"/>
        <v>31150696.95</v>
      </c>
      <c r="H238" s="3"/>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s="16" customFormat="1" ht="31.5">
      <c r="A239" s="28" t="s">
        <v>22</v>
      </c>
      <c r="B239" s="60" t="s">
        <v>185</v>
      </c>
      <c r="C239" s="26" t="s">
        <v>195</v>
      </c>
      <c r="D239" s="26">
        <v>240</v>
      </c>
      <c r="E239" s="27">
        <v>20455690</v>
      </c>
      <c r="F239" s="27">
        <f>144000+9500000+51005.95+1000001</f>
        <v>10695006.95</v>
      </c>
      <c r="G239" s="25">
        <f t="shared" si="7"/>
        <v>31150696.95</v>
      </c>
      <c r="H239" s="3"/>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s="16" customFormat="1" ht="15.75">
      <c r="A240" s="31" t="s">
        <v>24</v>
      </c>
      <c r="B240" s="60" t="s">
        <v>185</v>
      </c>
      <c r="C240" s="26" t="s">
        <v>195</v>
      </c>
      <c r="D240" s="26">
        <v>800</v>
      </c>
      <c r="E240" s="27">
        <f>E241</f>
        <v>10000000</v>
      </c>
      <c r="F240" s="27">
        <f>F241</f>
        <v>0</v>
      </c>
      <c r="G240" s="25">
        <f t="shared" si="7"/>
        <v>10000000</v>
      </c>
      <c r="H240" s="3"/>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s="16" customFormat="1" ht="47.25">
      <c r="A241" s="31" t="s">
        <v>181</v>
      </c>
      <c r="B241" s="60" t="s">
        <v>185</v>
      </c>
      <c r="C241" s="26" t="s">
        <v>195</v>
      </c>
      <c r="D241" s="26">
        <v>810</v>
      </c>
      <c r="E241" s="27">
        <v>10000000</v>
      </c>
      <c r="F241" s="27">
        <v>0</v>
      </c>
      <c r="G241" s="25">
        <f t="shared" si="7"/>
        <v>10000000</v>
      </c>
      <c r="H241" s="3"/>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s="16" customFormat="1" ht="31.5">
      <c r="A242" s="31" t="s">
        <v>196</v>
      </c>
      <c r="B242" s="60" t="s">
        <v>185</v>
      </c>
      <c r="C242" s="26" t="s">
        <v>197</v>
      </c>
      <c r="D242" s="26"/>
      <c r="E242" s="27">
        <f>E243</f>
        <v>10000000</v>
      </c>
      <c r="F242" s="27">
        <f>F243</f>
        <v>0</v>
      </c>
      <c r="G242" s="25">
        <f t="shared" si="7"/>
        <v>10000000</v>
      </c>
      <c r="H242" s="3"/>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s="3" customFormat="1" ht="15.75">
      <c r="A243" s="28" t="s">
        <v>24</v>
      </c>
      <c r="B243" s="60" t="s">
        <v>185</v>
      </c>
      <c r="C243" s="26" t="s">
        <v>197</v>
      </c>
      <c r="D243" s="26">
        <v>800</v>
      </c>
      <c r="E243" s="27">
        <f>E244</f>
        <v>10000000</v>
      </c>
      <c r="F243" s="27">
        <f>F244</f>
        <v>0</v>
      </c>
      <c r="G243" s="25">
        <f t="shared" si="7"/>
        <v>10000000</v>
      </c>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row>
    <row r="244" spans="1:34" s="3" customFormat="1" ht="47.25">
      <c r="A244" s="31" t="s">
        <v>181</v>
      </c>
      <c r="B244" s="60" t="s">
        <v>185</v>
      </c>
      <c r="C244" s="26" t="s">
        <v>197</v>
      </c>
      <c r="D244" s="26">
        <v>810</v>
      </c>
      <c r="E244" s="27">
        <v>10000000</v>
      </c>
      <c r="F244" s="27">
        <v>0</v>
      </c>
      <c r="G244" s="25">
        <f t="shared" si="7"/>
        <v>10000000</v>
      </c>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row>
    <row r="245" spans="1:34" s="3" customFormat="1" ht="39" customHeight="1">
      <c r="A245" s="31" t="s">
        <v>198</v>
      </c>
      <c r="B245" s="60" t="s">
        <v>185</v>
      </c>
      <c r="C245" s="26" t="s">
        <v>199</v>
      </c>
      <c r="D245" s="26"/>
      <c r="E245" s="27">
        <f>E246</f>
        <v>26800000</v>
      </c>
      <c r="F245" s="27">
        <f>F246</f>
        <v>0</v>
      </c>
      <c r="G245" s="25">
        <f t="shared" si="7"/>
        <v>26800000</v>
      </c>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row>
    <row r="246" spans="1:34" s="3" customFormat="1" ht="15.75">
      <c r="A246" s="28" t="s">
        <v>24</v>
      </c>
      <c r="B246" s="60" t="s">
        <v>185</v>
      </c>
      <c r="C246" s="26" t="s">
        <v>199</v>
      </c>
      <c r="D246" s="26">
        <v>800</v>
      </c>
      <c r="E246" s="27">
        <f>E247</f>
        <v>26800000</v>
      </c>
      <c r="F246" s="27">
        <f>F247</f>
        <v>0</v>
      </c>
      <c r="G246" s="25">
        <f t="shared" si="7"/>
        <v>26800000</v>
      </c>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row>
    <row r="247" spans="1:34" s="3" customFormat="1" ht="47.25">
      <c r="A247" s="31" t="s">
        <v>181</v>
      </c>
      <c r="B247" s="60" t="s">
        <v>185</v>
      </c>
      <c r="C247" s="26" t="s">
        <v>199</v>
      </c>
      <c r="D247" s="26">
        <v>810</v>
      </c>
      <c r="E247" s="27">
        <v>26800000</v>
      </c>
      <c r="F247" s="27">
        <v>0</v>
      </c>
      <c r="G247" s="25">
        <f t="shared" si="7"/>
        <v>26800000</v>
      </c>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row>
    <row r="248" spans="1:34" s="3" customFormat="1" ht="31.5">
      <c r="A248" s="31" t="s">
        <v>200</v>
      </c>
      <c r="B248" s="60" t="s">
        <v>185</v>
      </c>
      <c r="C248" s="26" t="s">
        <v>201</v>
      </c>
      <c r="D248" s="26"/>
      <c r="E248" s="27">
        <f>SUM(E249,E251)</f>
        <v>240756970</v>
      </c>
      <c r="F248" s="27">
        <f>SUM(F249,F251)</f>
        <v>0</v>
      </c>
      <c r="G248" s="25">
        <f t="shared" si="7"/>
        <v>240756970</v>
      </c>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row>
    <row r="249" spans="1:34" s="3" customFormat="1" ht="31.5">
      <c r="A249" s="28" t="s">
        <v>20</v>
      </c>
      <c r="B249" s="60" t="s">
        <v>185</v>
      </c>
      <c r="C249" s="26" t="s">
        <v>201</v>
      </c>
      <c r="D249" s="26">
        <v>200</v>
      </c>
      <c r="E249" s="27">
        <f>E250</f>
        <v>1256970</v>
      </c>
      <c r="F249" s="27">
        <f>F250</f>
        <v>0</v>
      </c>
      <c r="G249" s="25">
        <f t="shared" si="7"/>
        <v>1256970</v>
      </c>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row>
    <row r="250" spans="1:34" s="3" customFormat="1" ht="31.5">
      <c r="A250" s="28" t="s">
        <v>22</v>
      </c>
      <c r="B250" s="60" t="s">
        <v>185</v>
      </c>
      <c r="C250" s="26" t="s">
        <v>201</v>
      </c>
      <c r="D250" s="26">
        <v>240</v>
      </c>
      <c r="E250" s="27">
        <v>1256970</v>
      </c>
      <c r="F250" s="27">
        <v>0</v>
      </c>
      <c r="G250" s="25">
        <f t="shared" si="7"/>
        <v>1256970</v>
      </c>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row>
    <row r="251" spans="1:34" s="3" customFormat="1" ht="15.75">
      <c r="A251" s="31" t="s">
        <v>24</v>
      </c>
      <c r="B251" s="60" t="s">
        <v>185</v>
      </c>
      <c r="C251" s="26" t="s">
        <v>201</v>
      </c>
      <c r="D251" s="26">
        <v>800</v>
      </c>
      <c r="E251" s="27">
        <f>E252</f>
        <v>239500000</v>
      </c>
      <c r="F251" s="27">
        <f>F252</f>
        <v>0</v>
      </c>
      <c r="G251" s="25">
        <f t="shared" si="7"/>
        <v>239500000</v>
      </c>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row>
    <row r="252" spans="1:34" s="3" customFormat="1" ht="47.25">
      <c r="A252" s="31" t="s">
        <v>181</v>
      </c>
      <c r="B252" s="60" t="s">
        <v>185</v>
      </c>
      <c r="C252" s="26" t="s">
        <v>201</v>
      </c>
      <c r="D252" s="26">
        <v>810</v>
      </c>
      <c r="E252" s="27">
        <v>239500000</v>
      </c>
      <c r="F252" s="27"/>
      <c r="G252" s="25">
        <f t="shared" si="7"/>
        <v>239500000</v>
      </c>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row>
    <row r="253" spans="1:34" s="3" customFormat="1" ht="31.5">
      <c r="A253" s="30" t="s">
        <v>202</v>
      </c>
      <c r="B253" s="60" t="s">
        <v>185</v>
      </c>
      <c r="C253" s="26" t="s">
        <v>203</v>
      </c>
      <c r="D253" s="26"/>
      <c r="E253" s="27">
        <f>SUM(E254)</f>
        <v>20000000</v>
      </c>
      <c r="F253" s="27">
        <f>SUM(F254)</f>
        <v>0</v>
      </c>
      <c r="G253" s="25">
        <f t="shared" si="7"/>
        <v>20000000</v>
      </c>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row>
    <row r="254" spans="1:34" s="3" customFormat="1" ht="15.75">
      <c r="A254" s="31" t="s">
        <v>24</v>
      </c>
      <c r="B254" s="60" t="s">
        <v>185</v>
      </c>
      <c r="C254" s="26" t="s">
        <v>203</v>
      </c>
      <c r="D254" s="26">
        <v>800</v>
      </c>
      <c r="E254" s="27">
        <f>E255</f>
        <v>20000000</v>
      </c>
      <c r="F254" s="27">
        <f>F255</f>
        <v>0</v>
      </c>
      <c r="G254" s="25">
        <f t="shared" si="7"/>
        <v>20000000</v>
      </c>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row>
    <row r="255" spans="1:34" s="3" customFormat="1" ht="47.25">
      <c r="A255" s="31" t="s">
        <v>181</v>
      </c>
      <c r="B255" s="60" t="s">
        <v>185</v>
      </c>
      <c r="C255" s="26" t="s">
        <v>203</v>
      </c>
      <c r="D255" s="26">
        <v>810</v>
      </c>
      <c r="E255" s="27">
        <v>20000000</v>
      </c>
      <c r="F255" s="27">
        <v>0</v>
      </c>
      <c r="G255" s="25">
        <f t="shared" si="7"/>
        <v>20000000</v>
      </c>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row>
    <row r="256" spans="1:34" s="3" customFormat="1" ht="53.25" customHeight="1">
      <c r="A256" s="31" t="s">
        <v>204</v>
      </c>
      <c r="B256" s="60" t="s">
        <v>185</v>
      </c>
      <c r="C256" s="26" t="s">
        <v>205</v>
      </c>
      <c r="D256" s="26"/>
      <c r="E256" s="27">
        <f>E257</f>
        <v>0</v>
      </c>
      <c r="F256" s="27">
        <f>F257</f>
        <v>9485505</v>
      </c>
      <c r="G256" s="25">
        <f t="shared" si="7"/>
        <v>9485505</v>
      </c>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row>
    <row r="257" spans="1:34" s="3" customFormat="1" ht="31.5">
      <c r="A257" s="35" t="s">
        <v>20</v>
      </c>
      <c r="B257" s="60" t="s">
        <v>185</v>
      </c>
      <c r="C257" s="26" t="s">
        <v>205</v>
      </c>
      <c r="D257" s="36">
        <v>200</v>
      </c>
      <c r="E257" s="27">
        <f>E258</f>
        <v>0</v>
      </c>
      <c r="F257" s="27">
        <f>F258</f>
        <v>9485505</v>
      </c>
      <c r="G257" s="25">
        <f t="shared" si="7"/>
        <v>9485505</v>
      </c>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row>
    <row r="258" spans="1:34" s="3" customFormat="1" ht="31.5">
      <c r="A258" s="35" t="s">
        <v>22</v>
      </c>
      <c r="B258" s="60" t="s">
        <v>185</v>
      </c>
      <c r="C258" s="26" t="s">
        <v>205</v>
      </c>
      <c r="D258" s="36">
        <v>240</v>
      </c>
      <c r="E258" s="27">
        <v>0</v>
      </c>
      <c r="F258" s="27">
        <v>9485505</v>
      </c>
      <c r="G258" s="25">
        <f t="shared" si="7"/>
        <v>9485505</v>
      </c>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row>
    <row r="259" spans="1:34" s="3" customFormat="1" ht="31.5">
      <c r="A259" s="31" t="s">
        <v>206</v>
      </c>
      <c r="B259" s="60" t="s">
        <v>185</v>
      </c>
      <c r="C259" s="24" t="s">
        <v>207</v>
      </c>
      <c r="D259" s="26"/>
      <c r="E259" s="27">
        <f>E260</f>
        <v>52535586.96999999</v>
      </c>
      <c r="F259" s="27">
        <f>F260</f>
        <v>-9673914.29</v>
      </c>
      <c r="G259" s="25">
        <f t="shared" si="7"/>
        <v>42861672.67999999</v>
      </c>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row>
    <row r="260" spans="1:34" s="3" customFormat="1" ht="31.5">
      <c r="A260" s="31" t="s">
        <v>208</v>
      </c>
      <c r="B260" s="60" t="s">
        <v>185</v>
      </c>
      <c r="C260" s="24" t="s">
        <v>207</v>
      </c>
      <c r="D260" s="26">
        <v>400</v>
      </c>
      <c r="E260" s="27">
        <f>E261</f>
        <v>52535586.96999999</v>
      </c>
      <c r="F260" s="27">
        <f>F261</f>
        <v>-9673914.29</v>
      </c>
      <c r="G260" s="25">
        <f t="shared" si="7"/>
        <v>42861672.67999999</v>
      </c>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row>
    <row r="261" spans="1:34" s="3" customFormat="1" ht="15.75">
      <c r="A261" s="69" t="s">
        <v>209</v>
      </c>
      <c r="B261" s="70" t="s">
        <v>185</v>
      </c>
      <c r="C261" s="71" t="s">
        <v>207</v>
      </c>
      <c r="D261" s="72">
        <v>410</v>
      </c>
      <c r="E261" s="73">
        <f>64104241.08-13164230.73+1595576.62</f>
        <v>52535586.96999999</v>
      </c>
      <c r="F261" s="73">
        <f>-29914.28-0.01-144000-9500000</f>
        <v>-9673914.29</v>
      </c>
      <c r="G261" s="25">
        <f t="shared" si="7"/>
        <v>42861672.67999999</v>
      </c>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row>
    <row r="262" spans="1:34" s="38" customFormat="1" ht="31.5">
      <c r="A262" s="74" t="s">
        <v>210</v>
      </c>
      <c r="B262" s="75" t="s">
        <v>185</v>
      </c>
      <c r="C262" s="76" t="s">
        <v>211</v>
      </c>
      <c r="D262" s="77"/>
      <c r="E262" s="78">
        <f>E263</f>
        <v>68649885.72</v>
      </c>
      <c r="F262" s="78">
        <f>F263</f>
        <v>0</v>
      </c>
      <c r="G262" s="25">
        <f t="shared" si="7"/>
        <v>68649885.72</v>
      </c>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row>
    <row r="263" spans="1:34" s="38" customFormat="1" ht="31.5">
      <c r="A263" s="48" t="s">
        <v>208</v>
      </c>
      <c r="B263" s="75" t="s">
        <v>185</v>
      </c>
      <c r="C263" s="76" t="s">
        <v>211</v>
      </c>
      <c r="D263" s="77">
        <v>400</v>
      </c>
      <c r="E263" s="78">
        <f>E264</f>
        <v>68649885.72</v>
      </c>
      <c r="F263" s="78">
        <f>F264</f>
        <v>0</v>
      </c>
      <c r="G263" s="25">
        <f aca="true" t="shared" si="9" ref="G263:G326">SUM(E263:F263)</f>
        <v>68649885.72</v>
      </c>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row>
    <row r="264" spans="1:34" s="38" customFormat="1" ht="15.75">
      <c r="A264" s="74" t="s">
        <v>209</v>
      </c>
      <c r="B264" s="75" t="s">
        <v>185</v>
      </c>
      <c r="C264" s="76" t="s">
        <v>211</v>
      </c>
      <c r="D264" s="77">
        <v>410</v>
      </c>
      <c r="E264" s="78">
        <f>65217391.43+3432494.29</f>
        <v>68649885.72</v>
      </c>
      <c r="F264" s="78">
        <v>0</v>
      </c>
      <c r="G264" s="25">
        <f t="shared" si="9"/>
        <v>68649885.72</v>
      </c>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row>
    <row r="265" spans="1:34" s="38" customFormat="1" ht="63">
      <c r="A265" s="48" t="s">
        <v>212</v>
      </c>
      <c r="B265" s="79" t="s">
        <v>185</v>
      </c>
      <c r="C265" s="33" t="s">
        <v>213</v>
      </c>
      <c r="D265" s="36"/>
      <c r="E265" s="37">
        <f>E266</f>
        <v>21786738.47</v>
      </c>
      <c r="F265" s="37">
        <f>F266</f>
        <v>2525331.53</v>
      </c>
      <c r="G265" s="25">
        <f t="shared" si="9"/>
        <v>24312070</v>
      </c>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row>
    <row r="266" spans="1:34" s="38" customFormat="1" ht="31.5">
      <c r="A266" s="48" t="s">
        <v>208</v>
      </c>
      <c r="B266" s="79" t="s">
        <v>185</v>
      </c>
      <c r="C266" s="33" t="s">
        <v>213</v>
      </c>
      <c r="D266" s="36">
        <v>400</v>
      </c>
      <c r="E266" s="37">
        <f>E267</f>
        <v>21786738.47</v>
      </c>
      <c r="F266" s="37">
        <f>F267</f>
        <v>2525331.53</v>
      </c>
      <c r="G266" s="25">
        <f t="shared" si="9"/>
        <v>24312070</v>
      </c>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row>
    <row r="267" spans="1:34" s="38" customFormat="1" ht="15.75">
      <c r="A267" s="48" t="s">
        <v>209</v>
      </c>
      <c r="B267" s="79" t="s">
        <v>185</v>
      </c>
      <c r="C267" s="33" t="s">
        <v>213</v>
      </c>
      <c r="D267" s="36">
        <v>410</v>
      </c>
      <c r="E267" s="37">
        <v>21786738.47</v>
      </c>
      <c r="F267" s="37">
        <f>2500078.21+25253.32</f>
        <v>2525331.53</v>
      </c>
      <c r="G267" s="25">
        <f t="shared" si="9"/>
        <v>24312070</v>
      </c>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row>
    <row r="268" spans="1:34" s="38" customFormat="1" ht="105" customHeight="1">
      <c r="A268" s="80" t="s">
        <v>214</v>
      </c>
      <c r="B268" s="79" t="s">
        <v>185</v>
      </c>
      <c r="C268" s="33" t="s">
        <v>215</v>
      </c>
      <c r="D268" s="36"/>
      <c r="E268" s="37">
        <f>E269</f>
        <v>120308377.6</v>
      </c>
      <c r="F268" s="37">
        <f>F269</f>
        <v>0</v>
      </c>
      <c r="G268" s="25">
        <f t="shared" si="9"/>
        <v>120308377.6</v>
      </c>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row>
    <row r="269" spans="1:34" s="38" customFormat="1" ht="31.5">
      <c r="A269" s="48" t="s">
        <v>208</v>
      </c>
      <c r="B269" s="79" t="s">
        <v>185</v>
      </c>
      <c r="C269" s="33" t="s">
        <v>215</v>
      </c>
      <c r="D269" s="36">
        <v>400</v>
      </c>
      <c r="E269" s="37">
        <f>E270</f>
        <v>120308377.6</v>
      </c>
      <c r="F269" s="37">
        <f>F270</f>
        <v>0</v>
      </c>
      <c r="G269" s="25">
        <f t="shared" si="9"/>
        <v>120308377.6</v>
      </c>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row>
    <row r="270" spans="1:34" s="38" customFormat="1" ht="15.75">
      <c r="A270" s="48" t="s">
        <v>209</v>
      </c>
      <c r="B270" s="79" t="s">
        <v>185</v>
      </c>
      <c r="C270" s="33" t="s">
        <v>215</v>
      </c>
      <c r="D270" s="36">
        <v>410</v>
      </c>
      <c r="E270" s="37">
        <v>120308377.6</v>
      </c>
      <c r="F270" s="37">
        <v>0</v>
      </c>
      <c r="G270" s="25">
        <f t="shared" si="9"/>
        <v>120308377.6</v>
      </c>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row>
    <row r="271" spans="1:34" s="38" customFormat="1" ht="61.5" customHeight="1">
      <c r="A271" s="48" t="s">
        <v>216</v>
      </c>
      <c r="B271" s="79" t="s">
        <v>185</v>
      </c>
      <c r="C271" s="33" t="s">
        <v>217</v>
      </c>
      <c r="D271" s="36"/>
      <c r="E271" s="37">
        <f>E272</f>
        <v>0</v>
      </c>
      <c r="F271" s="37">
        <f>F272</f>
        <v>60000000</v>
      </c>
      <c r="G271" s="25">
        <f t="shared" si="9"/>
        <v>60000000</v>
      </c>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row>
    <row r="272" spans="1:34" s="38" customFormat="1" ht="31.5">
      <c r="A272" s="35" t="s">
        <v>20</v>
      </c>
      <c r="B272" s="79" t="s">
        <v>185</v>
      </c>
      <c r="C272" s="33" t="s">
        <v>217</v>
      </c>
      <c r="D272" s="36">
        <v>200</v>
      </c>
      <c r="E272" s="37">
        <f>E273</f>
        <v>0</v>
      </c>
      <c r="F272" s="37">
        <f>F273</f>
        <v>60000000</v>
      </c>
      <c r="G272" s="25">
        <f t="shared" si="9"/>
        <v>60000000</v>
      </c>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row>
    <row r="273" spans="1:34" s="38" customFormat="1" ht="31.5">
      <c r="A273" s="35" t="s">
        <v>22</v>
      </c>
      <c r="B273" s="79" t="s">
        <v>185</v>
      </c>
      <c r="C273" s="33" t="s">
        <v>217</v>
      </c>
      <c r="D273" s="36">
        <v>240</v>
      </c>
      <c r="E273" s="37">
        <v>0</v>
      </c>
      <c r="F273" s="37">
        <v>60000000</v>
      </c>
      <c r="G273" s="25">
        <f t="shared" si="9"/>
        <v>60000000</v>
      </c>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row>
    <row r="274" spans="1:34" s="38" customFormat="1" ht="78.75">
      <c r="A274" s="35" t="s">
        <v>218</v>
      </c>
      <c r="B274" s="79" t="s">
        <v>185</v>
      </c>
      <c r="C274" s="33" t="s">
        <v>219</v>
      </c>
      <c r="D274" s="36"/>
      <c r="E274" s="37">
        <f>E275</f>
        <v>90283700</v>
      </c>
      <c r="F274" s="37">
        <f>F275</f>
        <v>-42975023.96</v>
      </c>
      <c r="G274" s="25">
        <f t="shared" si="9"/>
        <v>47308676.04</v>
      </c>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row>
    <row r="275" spans="1:34" s="38" customFormat="1" ht="31.5">
      <c r="A275" s="35" t="s">
        <v>20</v>
      </c>
      <c r="B275" s="79" t="s">
        <v>185</v>
      </c>
      <c r="C275" s="33" t="s">
        <v>219</v>
      </c>
      <c r="D275" s="36">
        <v>200</v>
      </c>
      <c r="E275" s="37">
        <f>E276</f>
        <v>90283700</v>
      </c>
      <c r="F275" s="37">
        <f>F276</f>
        <v>-42975023.96</v>
      </c>
      <c r="G275" s="25">
        <f t="shared" si="9"/>
        <v>47308676.04</v>
      </c>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row>
    <row r="276" spans="1:34" s="38" customFormat="1" ht="31.5">
      <c r="A276" s="35" t="s">
        <v>22</v>
      </c>
      <c r="B276" s="79" t="s">
        <v>185</v>
      </c>
      <c r="C276" s="33" t="s">
        <v>219</v>
      </c>
      <c r="D276" s="36">
        <v>240</v>
      </c>
      <c r="E276" s="37">
        <f>85769515+4514185</f>
        <v>90283700</v>
      </c>
      <c r="F276" s="27">
        <f>-60000000+17024976.04</f>
        <v>-42975023.96</v>
      </c>
      <c r="G276" s="25">
        <f t="shared" si="9"/>
        <v>47308676.04</v>
      </c>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row>
    <row r="277" spans="1:34" s="16" customFormat="1" ht="15.75">
      <c r="A277" s="20" t="s">
        <v>220</v>
      </c>
      <c r="B277" s="21" t="s">
        <v>221</v>
      </c>
      <c r="C277" s="46"/>
      <c r="D277" s="46"/>
      <c r="E277" s="47">
        <f aca="true" t="shared" si="10" ref="E277:F281">E278</f>
        <v>3333333.33</v>
      </c>
      <c r="F277" s="47">
        <f t="shared" si="10"/>
        <v>0</v>
      </c>
      <c r="G277" s="22">
        <f t="shared" si="9"/>
        <v>3333333.33</v>
      </c>
      <c r="H277" s="3"/>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row>
    <row r="278" spans="1:34" s="16" customFormat="1" ht="15.75">
      <c r="A278" s="30" t="s">
        <v>30</v>
      </c>
      <c r="B278" s="24" t="s">
        <v>221</v>
      </c>
      <c r="C278" s="26" t="s">
        <v>31</v>
      </c>
      <c r="D278" s="21"/>
      <c r="E278" s="27">
        <f t="shared" si="10"/>
        <v>3333333.33</v>
      </c>
      <c r="F278" s="27">
        <f t="shared" si="10"/>
        <v>0</v>
      </c>
      <c r="G278" s="25">
        <f t="shared" si="9"/>
        <v>3333333.33</v>
      </c>
      <c r="H278" s="3"/>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spans="1:34" s="16" customFormat="1" ht="47.25">
      <c r="A279" s="31" t="s">
        <v>46</v>
      </c>
      <c r="B279" s="24" t="s">
        <v>221</v>
      </c>
      <c r="C279" s="26" t="s">
        <v>47</v>
      </c>
      <c r="D279" s="26"/>
      <c r="E279" s="27">
        <f t="shared" si="10"/>
        <v>3333333.33</v>
      </c>
      <c r="F279" s="27">
        <f t="shared" si="10"/>
        <v>0</v>
      </c>
      <c r="G279" s="25">
        <f t="shared" si="9"/>
        <v>3333333.33</v>
      </c>
      <c r="H279" s="3"/>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spans="1:34" s="44" customFormat="1" ht="36" customHeight="1">
      <c r="A280" s="35" t="s">
        <v>222</v>
      </c>
      <c r="B280" s="33" t="s">
        <v>221</v>
      </c>
      <c r="C280" s="36" t="s">
        <v>223</v>
      </c>
      <c r="D280" s="36"/>
      <c r="E280" s="40">
        <f t="shared" si="10"/>
        <v>3333333.33</v>
      </c>
      <c r="F280" s="40">
        <f t="shared" si="10"/>
        <v>0</v>
      </c>
      <c r="G280" s="25">
        <f t="shared" si="9"/>
        <v>3333333.33</v>
      </c>
      <c r="H280" s="38"/>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row>
    <row r="281" spans="1:34" s="44" customFormat="1" ht="31.5">
      <c r="A281" s="35" t="s">
        <v>20</v>
      </c>
      <c r="B281" s="33" t="s">
        <v>221</v>
      </c>
      <c r="C281" s="36" t="s">
        <v>223</v>
      </c>
      <c r="D281" s="36">
        <v>200</v>
      </c>
      <c r="E281" s="40">
        <f t="shared" si="10"/>
        <v>3333333.33</v>
      </c>
      <c r="F281" s="40">
        <f t="shared" si="10"/>
        <v>0</v>
      </c>
      <c r="G281" s="25">
        <f t="shared" si="9"/>
        <v>3333333.33</v>
      </c>
      <c r="H281" s="38"/>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row>
    <row r="282" spans="1:34" s="44" customFormat="1" ht="31.5">
      <c r="A282" s="35" t="s">
        <v>22</v>
      </c>
      <c r="B282" s="33" t="s">
        <v>221</v>
      </c>
      <c r="C282" s="36" t="s">
        <v>223</v>
      </c>
      <c r="D282" s="36">
        <v>240</v>
      </c>
      <c r="E282" s="40">
        <f>3000000+333333.33</f>
        <v>3333333.33</v>
      </c>
      <c r="F282" s="40">
        <v>0</v>
      </c>
      <c r="G282" s="25">
        <f t="shared" si="9"/>
        <v>3333333.33</v>
      </c>
      <c r="H282" s="38"/>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row>
    <row r="283" spans="1:34" s="3" customFormat="1" ht="15.75">
      <c r="A283" s="20" t="s">
        <v>224</v>
      </c>
      <c r="B283" s="21" t="s">
        <v>225</v>
      </c>
      <c r="C283" s="59"/>
      <c r="D283" s="59"/>
      <c r="E283" s="47">
        <f>SUM(E308,E284,E322)</f>
        <v>21180045.009999998</v>
      </c>
      <c r="F283" s="47">
        <f>SUM(F308,F284,F322)</f>
        <v>4600000</v>
      </c>
      <c r="G283" s="22">
        <f t="shared" si="9"/>
        <v>25780045.009999998</v>
      </c>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row>
    <row r="284" spans="1:34" s="3" customFormat="1" ht="47.25">
      <c r="A284" s="31" t="s">
        <v>226</v>
      </c>
      <c r="B284" s="24" t="s">
        <v>225</v>
      </c>
      <c r="C284" s="26" t="s">
        <v>227</v>
      </c>
      <c r="D284" s="26"/>
      <c r="E284" s="27">
        <f>SUM(E285,E298)</f>
        <v>17223722.34</v>
      </c>
      <c r="F284" s="27">
        <f>SUM(F285,F298)</f>
        <v>4600000</v>
      </c>
      <c r="G284" s="25">
        <f t="shared" si="9"/>
        <v>21823722.34</v>
      </c>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row>
    <row r="285" spans="1:34" s="3" customFormat="1" ht="31.5">
      <c r="A285" s="31" t="s">
        <v>228</v>
      </c>
      <c r="B285" s="24" t="s">
        <v>225</v>
      </c>
      <c r="C285" s="26" t="s">
        <v>229</v>
      </c>
      <c r="D285" s="26"/>
      <c r="E285" s="27">
        <f>SUM(E286,E289,E292,E295)</f>
        <v>2723722.34</v>
      </c>
      <c r="F285" s="27">
        <f>SUM(F286,F289,F292,F295)</f>
        <v>0</v>
      </c>
      <c r="G285" s="25">
        <f t="shared" si="9"/>
        <v>2723722.34</v>
      </c>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row>
    <row r="286" spans="1:34" s="3" customFormat="1" ht="68.25" customHeight="1">
      <c r="A286" s="31" t="s">
        <v>230</v>
      </c>
      <c r="B286" s="24" t="s">
        <v>225</v>
      </c>
      <c r="C286" s="26" t="s">
        <v>231</v>
      </c>
      <c r="D286" s="26"/>
      <c r="E286" s="27">
        <f>E287</f>
        <v>100000</v>
      </c>
      <c r="F286" s="27">
        <f>F287</f>
        <v>0</v>
      </c>
      <c r="G286" s="25">
        <f t="shared" si="9"/>
        <v>100000</v>
      </c>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row>
    <row r="287" spans="1:34" s="3" customFormat="1" ht="15.75">
      <c r="A287" s="31" t="s">
        <v>24</v>
      </c>
      <c r="B287" s="24" t="s">
        <v>225</v>
      </c>
      <c r="C287" s="26" t="s">
        <v>231</v>
      </c>
      <c r="D287" s="26">
        <v>800</v>
      </c>
      <c r="E287" s="27">
        <f>E288</f>
        <v>100000</v>
      </c>
      <c r="F287" s="27">
        <f>F288</f>
        <v>0</v>
      </c>
      <c r="G287" s="25">
        <f t="shared" si="9"/>
        <v>100000</v>
      </c>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row>
    <row r="288" spans="1:34" s="3" customFormat="1" ht="47.25">
      <c r="A288" s="31" t="s">
        <v>181</v>
      </c>
      <c r="B288" s="24" t="s">
        <v>225</v>
      </c>
      <c r="C288" s="26" t="s">
        <v>231</v>
      </c>
      <c r="D288" s="26">
        <v>810</v>
      </c>
      <c r="E288" s="27">
        <v>100000</v>
      </c>
      <c r="F288" s="27">
        <v>0</v>
      </c>
      <c r="G288" s="25">
        <f t="shared" si="9"/>
        <v>100000</v>
      </c>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row>
    <row r="289" spans="1:34" s="38" customFormat="1" ht="31.5">
      <c r="A289" s="48" t="s">
        <v>232</v>
      </c>
      <c r="B289" s="33" t="s">
        <v>225</v>
      </c>
      <c r="C289" s="36" t="s">
        <v>233</v>
      </c>
      <c r="D289" s="36"/>
      <c r="E289" s="37">
        <f>E290</f>
        <v>1300000</v>
      </c>
      <c r="F289" s="37">
        <f>F290</f>
        <v>0</v>
      </c>
      <c r="G289" s="25">
        <f t="shared" si="9"/>
        <v>1300000</v>
      </c>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row>
    <row r="290" spans="1:34" s="38" customFormat="1" ht="15.75">
      <c r="A290" s="48" t="s">
        <v>24</v>
      </c>
      <c r="B290" s="33" t="s">
        <v>225</v>
      </c>
      <c r="C290" s="36" t="s">
        <v>233</v>
      </c>
      <c r="D290" s="36">
        <v>800</v>
      </c>
      <c r="E290" s="37">
        <f>E291</f>
        <v>1300000</v>
      </c>
      <c r="F290" s="37">
        <f>F291</f>
        <v>0</v>
      </c>
      <c r="G290" s="25">
        <f t="shared" si="9"/>
        <v>1300000</v>
      </c>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row>
    <row r="291" spans="1:34" s="38" customFormat="1" ht="47.25">
      <c r="A291" s="48" t="s">
        <v>181</v>
      </c>
      <c r="B291" s="33" t="s">
        <v>225</v>
      </c>
      <c r="C291" s="36" t="s">
        <v>233</v>
      </c>
      <c r="D291" s="36">
        <v>810</v>
      </c>
      <c r="E291" s="37">
        <f>500000+800000</f>
        <v>1300000</v>
      </c>
      <c r="F291" s="37">
        <v>0</v>
      </c>
      <c r="G291" s="25">
        <f t="shared" si="9"/>
        <v>1300000</v>
      </c>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row>
    <row r="292" spans="1:34" s="38" customFormat="1" ht="63">
      <c r="A292" s="48" t="s">
        <v>234</v>
      </c>
      <c r="B292" s="33" t="s">
        <v>225</v>
      </c>
      <c r="C292" s="36" t="s">
        <v>235</v>
      </c>
      <c r="D292" s="36"/>
      <c r="E292" s="37">
        <f>E293</f>
        <v>1223722.3399999999</v>
      </c>
      <c r="F292" s="37">
        <f>F293</f>
        <v>0</v>
      </c>
      <c r="G292" s="25">
        <f t="shared" si="9"/>
        <v>1223722.3399999999</v>
      </c>
      <c r="I292"/>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row>
    <row r="293" spans="1:34" s="38" customFormat="1" ht="15.75">
      <c r="A293" s="48" t="s">
        <v>24</v>
      </c>
      <c r="B293" s="33" t="s">
        <v>225</v>
      </c>
      <c r="C293" s="36" t="s">
        <v>235</v>
      </c>
      <c r="D293" s="36">
        <v>800</v>
      </c>
      <c r="E293" s="37">
        <f>E294</f>
        <v>1223722.3399999999</v>
      </c>
      <c r="F293" s="37">
        <f>F294</f>
        <v>0</v>
      </c>
      <c r="G293" s="25">
        <f t="shared" si="9"/>
        <v>1223722.3399999999</v>
      </c>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row>
    <row r="294" spans="1:34" s="38" customFormat="1" ht="47.25">
      <c r="A294" s="48" t="s">
        <v>181</v>
      </c>
      <c r="B294" s="33" t="s">
        <v>225</v>
      </c>
      <c r="C294" s="36" t="s">
        <v>235</v>
      </c>
      <c r="D294" s="36">
        <v>810</v>
      </c>
      <c r="E294" s="37">
        <f>623722.34+600000</f>
        <v>1223722.3399999999</v>
      </c>
      <c r="F294" s="37">
        <v>0</v>
      </c>
      <c r="G294" s="25">
        <f t="shared" si="9"/>
        <v>1223722.3399999999</v>
      </c>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row>
    <row r="295" spans="1:34" s="16" customFormat="1" ht="47.25">
      <c r="A295" s="31" t="s">
        <v>236</v>
      </c>
      <c r="B295" s="24" t="s">
        <v>225</v>
      </c>
      <c r="C295" s="26" t="s">
        <v>237</v>
      </c>
      <c r="D295" s="26"/>
      <c r="E295" s="27">
        <f>E296</f>
        <v>100000</v>
      </c>
      <c r="F295" s="27">
        <f>F296</f>
        <v>0</v>
      </c>
      <c r="G295" s="25">
        <f t="shared" si="9"/>
        <v>100000</v>
      </c>
      <c r="H295" s="3"/>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row>
    <row r="296" spans="1:34" s="3" customFormat="1" ht="31.5">
      <c r="A296" s="28" t="s">
        <v>20</v>
      </c>
      <c r="B296" s="24" t="s">
        <v>225</v>
      </c>
      <c r="C296" s="26" t="s">
        <v>237</v>
      </c>
      <c r="D296" s="26">
        <v>200</v>
      </c>
      <c r="E296" s="27">
        <f>E297</f>
        <v>100000</v>
      </c>
      <c r="F296" s="27">
        <f>F297</f>
        <v>0</v>
      </c>
      <c r="G296" s="25">
        <f t="shared" si="9"/>
        <v>100000</v>
      </c>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row>
    <row r="297" spans="1:34" s="3" customFormat="1" ht="31.5">
      <c r="A297" s="28" t="s">
        <v>22</v>
      </c>
      <c r="B297" s="24" t="s">
        <v>225</v>
      </c>
      <c r="C297" s="26" t="s">
        <v>237</v>
      </c>
      <c r="D297" s="26">
        <v>240</v>
      </c>
      <c r="E297" s="27">
        <v>100000</v>
      </c>
      <c r="F297" s="27">
        <v>0</v>
      </c>
      <c r="G297" s="25">
        <f t="shared" si="9"/>
        <v>100000</v>
      </c>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row>
    <row r="298" spans="1:34" s="3" customFormat="1" ht="31.5">
      <c r="A298" s="31" t="s">
        <v>238</v>
      </c>
      <c r="B298" s="24" t="s">
        <v>225</v>
      </c>
      <c r="C298" s="26" t="s">
        <v>239</v>
      </c>
      <c r="D298" s="26"/>
      <c r="E298" s="27">
        <f>SUM(E299,E302,E305)</f>
        <v>14500000</v>
      </c>
      <c r="F298" s="27">
        <f>SUM(F299,F302,F305)</f>
        <v>4600000</v>
      </c>
      <c r="G298" s="25">
        <f t="shared" si="9"/>
        <v>19100000</v>
      </c>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row>
    <row r="299" spans="1:34" s="3" customFormat="1" ht="47.25">
      <c r="A299" s="31" t="s">
        <v>240</v>
      </c>
      <c r="B299" s="24" t="s">
        <v>225</v>
      </c>
      <c r="C299" s="26" t="s">
        <v>241</v>
      </c>
      <c r="D299" s="26"/>
      <c r="E299" s="27">
        <f>E300</f>
        <v>1500000</v>
      </c>
      <c r="F299" s="27">
        <f>F300</f>
        <v>0</v>
      </c>
      <c r="G299" s="25">
        <f t="shared" si="9"/>
        <v>1500000</v>
      </c>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row>
    <row r="300" spans="1:34" s="3" customFormat="1" ht="15.75">
      <c r="A300" s="31" t="s">
        <v>24</v>
      </c>
      <c r="B300" s="24" t="s">
        <v>225</v>
      </c>
      <c r="C300" s="26" t="s">
        <v>241</v>
      </c>
      <c r="D300" s="26">
        <v>800</v>
      </c>
      <c r="E300" s="27">
        <f>E301</f>
        <v>1500000</v>
      </c>
      <c r="F300" s="27">
        <f>F301</f>
        <v>0</v>
      </c>
      <c r="G300" s="25">
        <f t="shared" si="9"/>
        <v>1500000</v>
      </c>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row>
    <row r="301" spans="1:34" s="3" customFormat="1" ht="47.25">
      <c r="A301" s="31" t="s">
        <v>181</v>
      </c>
      <c r="B301" s="24" t="s">
        <v>225</v>
      </c>
      <c r="C301" s="26" t="s">
        <v>241</v>
      </c>
      <c r="D301" s="26">
        <v>810</v>
      </c>
      <c r="E301" s="27">
        <v>1500000</v>
      </c>
      <c r="F301" s="27">
        <v>0</v>
      </c>
      <c r="G301" s="25">
        <f t="shared" si="9"/>
        <v>1500000</v>
      </c>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row>
    <row r="302" spans="1:34" s="3" customFormat="1" ht="31.5">
      <c r="A302" s="31" t="s">
        <v>242</v>
      </c>
      <c r="B302" s="24" t="s">
        <v>225</v>
      </c>
      <c r="C302" s="26" t="s">
        <v>243</v>
      </c>
      <c r="D302" s="26"/>
      <c r="E302" s="27">
        <f>E303</f>
        <v>10000000</v>
      </c>
      <c r="F302" s="27">
        <f>F303</f>
        <v>0</v>
      </c>
      <c r="G302" s="25">
        <f t="shared" si="9"/>
        <v>10000000</v>
      </c>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row>
    <row r="303" spans="1:34" s="3" customFormat="1" ht="15.75">
      <c r="A303" s="31" t="s">
        <v>24</v>
      </c>
      <c r="B303" s="24" t="s">
        <v>225</v>
      </c>
      <c r="C303" s="26" t="s">
        <v>243</v>
      </c>
      <c r="D303" s="26">
        <v>800</v>
      </c>
      <c r="E303" s="27">
        <f>E304</f>
        <v>10000000</v>
      </c>
      <c r="F303" s="27">
        <f>F304</f>
        <v>0</v>
      </c>
      <c r="G303" s="25">
        <f t="shared" si="9"/>
        <v>10000000</v>
      </c>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row>
    <row r="304" spans="1:34" s="3" customFormat="1" ht="47.25">
      <c r="A304" s="31" t="s">
        <v>181</v>
      </c>
      <c r="B304" s="24" t="s">
        <v>225</v>
      </c>
      <c r="C304" s="26" t="s">
        <v>243</v>
      </c>
      <c r="D304" s="26">
        <v>810</v>
      </c>
      <c r="E304" s="27">
        <v>10000000</v>
      </c>
      <c r="F304" s="27">
        <v>0</v>
      </c>
      <c r="G304" s="25">
        <f t="shared" si="9"/>
        <v>10000000</v>
      </c>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row>
    <row r="305" spans="1:34" s="3" customFormat="1" ht="141.75">
      <c r="A305" s="81" t="s">
        <v>244</v>
      </c>
      <c r="B305" s="24" t="s">
        <v>225</v>
      </c>
      <c r="C305" s="26" t="s">
        <v>245</v>
      </c>
      <c r="D305" s="26"/>
      <c r="E305" s="49">
        <f>E306</f>
        <v>3000000</v>
      </c>
      <c r="F305" s="49">
        <f>F306</f>
        <v>4600000</v>
      </c>
      <c r="G305" s="25">
        <f t="shared" si="9"/>
        <v>7600000</v>
      </c>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row>
    <row r="306" spans="1:34" s="3" customFormat="1" ht="31.5">
      <c r="A306" s="28" t="s">
        <v>93</v>
      </c>
      <c r="B306" s="24" t="s">
        <v>225</v>
      </c>
      <c r="C306" s="26" t="s">
        <v>245</v>
      </c>
      <c r="D306" s="26">
        <v>600</v>
      </c>
      <c r="E306" s="49">
        <f>E307</f>
        <v>3000000</v>
      </c>
      <c r="F306" s="49">
        <f>F307</f>
        <v>4600000</v>
      </c>
      <c r="G306" s="25">
        <f t="shared" si="9"/>
        <v>7600000</v>
      </c>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row>
    <row r="307" spans="1:34" s="3" customFormat="1" ht="31.5">
      <c r="A307" s="28" t="s">
        <v>103</v>
      </c>
      <c r="B307" s="24" t="s">
        <v>225</v>
      </c>
      <c r="C307" s="26" t="s">
        <v>245</v>
      </c>
      <c r="D307" s="26">
        <v>630</v>
      </c>
      <c r="E307" s="49">
        <v>3000000</v>
      </c>
      <c r="F307" s="49">
        <v>4600000</v>
      </c>
      <c r="G307" s="25">
        <f t="shared" si="9"/>
        <v>7600000</v>
      </c>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row>
    <row r="308" spans="1:34" s="3" customFormat="1" ht="47.25">
      <c r="A308" s="31" t="s">
        <v>106</v>
      </c>
      <c r="B308" s="24" t="s">
        <v>225</v>
      </c>
      <c r="C308" s="26" t="s">
        <v>107</v>
      </c>
      <c r="D308" s="26"/>
      <c r="E308" s="27">
        <f>E309</f>
        <v>3927567.67</v>
      </c>
      <c r="F308" s="27">
        <f>F309</f>
        <v>0</v>
      </c>
      <c r="G308" s="25">
        <f t="shared" si="9"/>
        <v>3927567.67</v>
      </c>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row>
    <row r="309" spans="1:34" s="3" customFormat="1" ht="47.25">
      <c r="A309" s="31" t="s">
        <v>120</v>
      </c>
      <c r="B309" s="24" t="s">
        <v>225</v>
      </c>
      <c r="C309" s="26" t="s">
        <v>121</v>
      </c>
      <c r="D309" s="26"/>
      <c r="E309" s="27">
        <f>SUM(E310,E313,E319,E316)</f>
        <v>3927567.67</v>
      </c>
      <c r="F309" s="27">
        <f>SUM(F310,F313,F319,F316)</f>
        <v>0</v>
      </c>
      <c r="G309" s="25">
        <f t="shared" si="9"/>
        <v>3927567.67</v>
      </c>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row>
    <row r="310" spans="1:34" s="38" customFormat="1" ht="94.5">
      <c r="A310" s="35" t="s">
        <v>246</v>
      </c>
      <c r="B310" s="33" t="s">
        <v>225</v>
      </c>
      <c r="C310" s="36" t="s">
        <v>247</v>
      </c>
      <c r="D310" s="36"/>
      <c r="E310" s="37">
        <f>E311</f>
        <v>57801</v>
      </c>
      <c r="F310" s="37">
        <f>F311</f>
        <v>0</v>
      </c>
      <c r="G310" s="25">
        <f t="shared" si="9"/>
        <v>57801</v>
      </c>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row>
    <row r="311" spans="1:34" s="38" customFormat="1" ht="31.5">
      <c r="A311" s="35" t="s">
        <v>20</v>
      </c>
      <c r="B311" s="33" t="s">
        <v>225</v>
      </c>
      <c r="C311" s="36" t="s">
        <v>247</v>
      </c>
      <c r="D311" s="36">
        <v>200</v>
      </c>
      <c r="E311" s="37">
        <f>E312</f>
        <v>57801</v>
      </c>
      <c r="F311" s="37">
        <f>F312</f>
        <v>0</v>
      </c>
      <c r="G311" s="25">
        <f t="shared" si="9"/>
        <v>57801</v>
      </c>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row>
    <row r="312" spans="1:34" s="38" customFormat="1" ht="31.5">
      <c r="A312" s="35" t="s">
        <v>22</v>
      </c>
      <c r="B312" s="33" t="s">
        <v>225</v>
      </c>
      <c r="C312" s="36" t="s">
        <v>247</v>
      </c>
      <c r="D312" s="36">
        <v>240</v>
      </c>
      <c r="E312" s="37">
        <f>52020.9+5780.1</f>
        <v>57801</v>
      </c>
      <c r="F312" s="37">
        <v>0</v>
      </c>
      <c r="G312" s="25">
        <f t="shared" si="9"/>
        <v>57801</v>
      </c>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row>
    <row r="313" spans="1:34" s="44" customFormat="1" ht="80.25" customHeight="1">
      <c r="A313" s="82" t="s">
        <v>248</v>
      </c>
      <c r="B313" s="33" t="s">
        <v>225</v>
      </c>
      <c r="C313" s="36" t="s">
        <v>249</v>
      </c>
      <c r="D313" s="36"/>
      <c r="E313" s="37">
        <f>E314</f>
        <v>3203100</v>
      </c>
      <c r="F313" s="37">
        <f>F314</f>
        <v>0</v>
      </c>
      <c r="G313" s="25">
        <f t="shared" si="9"/>
        <v>3203100</v>
      </c>
      <c r="H313" s="38"/>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row>
    <row r="314" spans="1:34" s="44" customFormat="1" ht="31.5">
      <c r="A314" s="35" t="s">
        <v>20</v>
      </c>
      <c r="B314" s="33" t="s">
        <v>225</v>
      </c>
      <c r="C314" s="36" t="s">
        <v>249</v>
      </c>
      <c r="D314" s="36">
        <v>200</v>
      </c>
      <c r="E314" s="37">
        <f>E315</f>
        <v>3203100</v>
      </c>
      <c r="F314" s="37">
        <f>F315</f>
        <v>0</v>
      </c>
      <c r="G314" s="25">
        <f t="shared" si="9"/>
        <v>3203100</v>
      </c>
      <c r="H314" s="38"/>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row>
    <row r="315" spans="1:34" s="44" customFormat="1" ht="31.5">
      <c r="A315" s="35" t="s">
        <v>22</v>
      </c>
      <c r="B315" s="33" t="s">
        <v>225</v>
      </c>
      <c r="C315" s="36" t="s">
        <v>249</v>
      </c>
      <c r="D315" s="36">
        <v>240</v>
      </c>
      <c r="E315" s="37">
        <f>2882790+320310</f>
        <v>3203100</v>
      </c>
      <c r="F315" s="37">
        <v>0</v>
      </c>
      <c r="G315" s="25">
        <f t="shared" si="9"/>
        <v>3203100</v>
      </c>
      <c r="H315" s="38"/>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row>
    <row r="316" spans="1:34" s="44" customFormat="1" ht="97.5" customHeight="1">
      <c r="A316" s="35" t="s">
        <v>250</v>
      </c>
      <c r="B316" s="33" t="s">
        <v>225</v>
      </c>
      <c r="C316" s="36" t="s">
        <v>251</v>
      </c>
      <c r="D316" s="36"/>
      <c r="E316" s="37">
        <f>E317</f>
        <v>166666.66999999998</v>
      </c>
      <c r="F316" s="37">
        <f>F317</f>
        <v>0</v>
      </c>
      <c r="G316" s="25">
        <f t="shared" si="9"/>
        <v>166666.66999999998</v>
      </c>
      <c r="H316" s="38"/>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row>
    <row r="317" spans="1:34" s="44" customFormat="1" ht="31.5">
      <c r="A317" s="35" t="s">
        <v>20</v>
      </c>
      <c r="B317" s="33" t="s">
        <v>225</v>
      </c>
      <c r="C317" s="36" t="s">
        <v>251</v>
      </c>
      <c r="D317" s="36">
        <v>200</v>
      </c>
      <c r="E317" s="37">
        <f>E318</f>
        <v>166666.66999999998</v>
      </c>
      <c r="F317" s="37">
        <f>F318</f>
        <v>0</v>
      </c>
      <c r="G317" s="25">
        <f t="shared" si="9"/>
        <v>166666.66999999998</v>
      </c>
      <c r="H317" s="38"/>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row>
    <row r="318" spans="1:34" s="44" customFormat="1" ht="31.5">
      <c r="A318" s="35" t="s">
        <v>22</v>
      </c>
      <c r="B318" s="33" t="s">
        <v>225</v>
      </c>
      <c r="C318" s="36" t="s">
        <v>251</v>
      </c>
      <c r="D318" s="36">
        <v>240</v>
      </c>
      <c r="E318" s="37">
        <f>150000+16666.67</f>
        <v>166666.66999999998</v>
      </c>
      <c r="F318" s="37">
        <v>0</v>
      </c>
      <c r="G318" s="25">
        <f t="shared" si="9"/>
        <v>166666.66999999998</v>
      </c>
      <c r="H318" s="38"/>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row>
    <row r="319" spans="1:34" s="16" customFormat="1" ht="63">
      <c r="A319" s="28" t="s">
        <v>252</v>
      </c>
      <c r="B319" s="24" t="s">
        <v>225</v>
      </c>
      <c r="C319" s="26" t="s">
        <v>253</v>
      </c>
      <c r="D319" s="26"/>
      <c r="E319" s="27">
        <f>E320</f>
        <v>500000</v>
      </c>
      <c r="F319" s="27">
        <f>F320</f>
        <v>0</v>
      </c>
      <c r="G319" s="25">
        <f t="shared" si="9"/>
        <v>500000</v>
      </c>
      <c r="H319" s="3"/>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row>
    <row r="320" spans="1:34" s="16" customFormat="1" ht="31.5">
      <c r="A320" s="28" t="s">
        <v>20</v>
      </c>
      <c r="B320" s="24" t="s">
        <v>225</v>
      </c>
      <c r="C320" s="26" t="s">
        <v>253</v>
      </c>
      <c r="D320" s="26">
        <v>200</v>
      </c>
      <c r="E320" s="27">
        <f>E321</f>
        <v>500000</v>
      </c>
      <c r="F320" s="27">
        <f>F321</f>
        <v>0</v>
      </c>
      <c r="G320" s="25">
        <f t="shared" si="9"/>
        <v>500000</v>
      </c>
      <c r="H320" s="3"/>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row>
    <row r="321" spans="1:34" s="16" customFormat="1" ht="31.5">
      <c r="A321" s="28" t="s">
        <v>22</v>
      </c>
      <c r="B321" s="24" t="s">
        <v>225</v>
      </c>
      <c r="C321" s="26" t="s">
        <v>253</v>
      </c>
      <c r="D321" s="26">
        <v>240</v>
      </c>
      <c r="E321" s="27">
        <f>500000</f>
        <v>500000</v>
      </c>
      <c r="F321" s="27">
        <v>0</v>
      </c>
      <c r="G321" s="25">
        <f t="shared" si="9"/>
        <v>500000</v>
      </c>
      <c r="H321" s="3"/>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row>
    <row r="322" spans="1:34" s="16" customFormat="1" ht="15.75">
      <c r="A322" s="30" t="s">
        <v>30</v>
      </c>
      <c r="B322" s="24" t="s">
        <v>225</v>
      </c>
      <c r="C322" s="26" t="s">
        <v>31</v>
      </c>
      <c r="D322" s="26"/>
      <c r="E322" s="27">
        <f aca="true" t="shared" si="11" ref="E322:F325">E323</f>
        <v>28755</v>
      </c>
      <c r="F322" s="27">
        <f t="shared" si="11"/>
        <v>0</v>
      </c>
      <c r="G322" s="25">
        <f t="shared" si="9"/>
        <v>28755</v>
      </c>
      <c r="H322" s="3"/>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row>
    <row r="323" spans="1:34" s="16" customFormat="1" ht="47.25">
      <c r="A323" s="31" t="s">
        <v>46</v>
      </c>
      <c r="B323" s="24" t="s">
        <v>225</v>
      </c>
      <c r="C323" s="26" t="s">
        <v>47</v>
      </c>
      <c r="D323" s="26"/>
      <c r="E323" s="27">
        <f t="shared" si="11"/>
        <v>28755</v>
      </c>
      <c r="F323" s="27">
        <f t="shared" si="11"/>
        <v>0</v>
      </c>
      <c r="G323" s="25">
        <f t="shared" si="9"/>
        <v>28755</v>
      </c>
      <c r="H323" s="3"/>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row>
    <row r="324" spans="1:34" s="44" customFormat="1" ht="47.25">
      <c r="A324" s="48" t="s">
        <v>254</v>
      </c>
      <c r="B324" s="33" t="s">
        <v>225</v>
      </c>
      <c r="C324" s="36" t="s">
        <v>255</v>
      </c>
      <c r="D324" s="36"/>
      <c r="E324" s="37">
        <f t="shared" si="11"/>
        <v>28755</v>
      </c>
      <c r="F324" s="37">
        <f t="shared" si="11"/>
        <v>0</v>
      </c>
      <c r="G324" s="25">
        <f t="shared" si="9"/>
        <v>28755</v>
      </c>
      <c r="H324" s="38"/>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row>
    <row r="325" spans="1:34" s="44" customFormat="1" ht="31.5">
      <c r="A325" s="35" t="s">
        <v>20</v>
      </c>
      <c r="B325" s="33" t="s">
        <v>225</v>
      </c>
      <c r="C325" s="36" t="s">
        <v>255</v>
      </c>
      <c r="D325" s="36">
        <v>200</v>
      </c>
      <c r="E325" s="37">
        <f t="shared" si="11"/>
        <v>28755</v>
      </c>
      <c r="F325" s="37">
        <f t="shared" si="11"/>
        <v>0</v>
      </c>
      <c r="G325" s="25">
        <f t="shared" si="9"/>
        <v>28755</v>
      </c>
      <c r="H325" s="38"/>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row>
    <row r="326" spans="1:34" s="44" customFormat="1" ht="31.5">
      <c r="A326" s="35" t="s">
        <v>22</v>
      </c>
      <c r="B326" s="33" t="s">
        <v>225</v>
      </c>
      <c r="C326" s="36" t="s">
        <v>255</v>
      </c>
      <c r="D326" s="36">
        <v>240</v>
      </c>
      <c r="E326" s="37">
        <v>28755</v>
      </c>
      <c r="F326" s="37">
        <v>0</v>
      </c>
      <c r="G326" s="25">
        <f t="shared" si="9"/>
        <v>28755</v>
      </c>
      <c r="H326" s="38"/>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row>
    <row r="327" spans="1:34" s="3" customFormat="1" ht="15.75">
      <c r="A327" s="17" t="s">
        <v>256</v>
      </c>
      <c r="B327" s="18" t="s">
        <v>257</v>
      </c>
      <c r="C327" s="59"/>
      <c r="D327" s="59"/>
      <c r="E327" s="66">
        <f>SUM(E359,E328,E411,E471)</f>
        <v>446452644.90999997</v>
      </c>
      <c r="F327" s="66">
        <f>SUM(F359,F328,F411,F471)</f>
        <v>108291105.63</v>
      </c>
      <c r="G327" s="19">
        <f aca="true" t="shared" si="12" ref="G327:G390">SUM(E327:F327)</f>
        <v>554743750.54</v>
      </c>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row>
    <row r="328" spans="1:34" s="3" customFormat="1" ht="15.75">
      <c r="A328" s="20" t="s">
        <v>258</v>
      </c>
      <c r="B328" s="21" t="s">
        <v>259</v>
      </c>
      <c r="C328" s="59"/>
      <c r="D328" s="59"/>
      <c r="E328" s="47">
        <f>SUM(E334,E347,E329,E354)</f>
        <v>58500000</v>
      </c>
      <c r="F328" s="47">
        <f>SUM(F334,F347,F329,F354)</f>
        <v>12599999</v>
      </c>
      <c r="G328" s="22">
        <f t="shared" si="12"/>
        <v>71099999</v>
      </c>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row>
    <row r="329" spans="1:34" s="3" customFormat="1" ht="31.5">
      <c r="A329" s="31" t="s">
        <v>186</v>
      </c>
      <c r="B329" s="24" t="s">
        <v>259</v>
      </c>
      <c r="C329" s="26" t="s">
        <v>187</v>
      </c>
      <c r="D329" s="83"/>
      <c r="E329" s="27">
        <f aca="true" t="shared" si="13" ref="E329:F332">E330</f>
        <v>2700000</v>
      </c>
      <c r="F329" s="27">
        <f t="shared" si="13"/>
        <v>0</v>
      </c>
      <c r="G329" s="25">
        <f t="shared" si="12"/>
        <v>2700000</v>
      </c>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row>
    <row r="330" spans="1:34" s="3" customFormat="1" ht="15.75">
      <c r="A330" s="30" t="s">
        <v>188</v>
      </c>
      <c r="B330" s="24" t="s">
        <v>259</v>
      </c>
      <c r="C330" s="26" t="s">
        <v>189</v>
      </c>
      <c r="D330" s="26"/>
      <c r="E330" s="27">
        <f t="shared" si="13"/>
        <v>2700000</v>
      </c>
      <c r="F330" s="27">
        <f t="shared" si="13"/>
        <v>0</v>
      </c>
      <c r="G330" s="25">
        <f t="shared" si="12"/>
        <v>2700000</v>
      </c>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row>
    <row r="331" spans="1:34" s="3" customFormat="1" ht="78.75">
      <c r="A331" s="31" t="s">
        <v>260</v>
      </c>
      <c r="B331" s="24" t="s">
        <v>259</v>
      </c>
      <c r="C331" s="26" t="s">
        <v>261</v>
      </c>
      <c r="D331" s="26"/>
      <c r="E331" s="27">
        <f t="shared" si="13"/>
        <v>2700000</v>
      </c>
      <c r="F331" s="27">
        <f t="shared" si="13"/>
        <v>0</v>
      </c>
      <c r="G331" s="25">
        <f t="shared" si="12"/>
        <v>2700000</v>
      </c>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row>
    <row r="332" spans="1:34" s="3" customFormat="1" ht="31.5">
      <c r="A332" s="31" t="s">
        <v>208</v>
      </c>
      <c r="B332" s="24" t="s">
        <v>259</v>
      </c>
      <c r="C332" s="26" t="s">
        <v>261</v>
      </c>
      <c r="D332" s="26">
        <v>400</v>
      </c>
      <c r="E332" s="27">
        <f t="shared" si="13"/>
        <v>2700000</v>
      </c>
      <c r="F332" s="27">
        <f t="shared" si="13"/>
        <v>0</v>
      </c>
      <c r="G332" s="25">
        <f t="shared" si="12"/>
        <v>2700000</v>
      </c>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row>
    <row r="333" spans="1:34" s="3" customFormat="1" ht="15.75">
      <c r="A333" s="31" t="s">
        <v>209</v>
      </c>
      <c r="B333" s="24" t="s">
        <v>259</v>
      </c>
      <c r="C333" s="26" t="s">
        <v>261</v>
      </c>
      <c r="D333" s="26">
        <v>410</v>
      </c>
      <c r="E333" s="27">
        <v>2700000</v>
      </c>
      <c r="F333" s="27">
        <v>0</v>
      </c>
      <c r="G333" s="25">
        <f t="shared" si="12"/>
        <v>2700000</v>
      </c>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row>
    <row r="334" spans="1:34" s="3" customFormat="1" ht="47.25">
      <c r="A334" s="31" t="s">
        <v>262</v>
      </c>
      <c r="B334" s="24" t="s">
        <v>259</v>
      </c>
      <c r="C334" s="26" t="s">
        <v>77</v>
      </c>
      <c r="D334" s="26"/>
      <c r="E334" s="27">
        <f>SUM(E335,E338,E341,E344)</f>
        <v>54500000</v>
      </c>
      <c r="F334" s="27">
        <f>SUM(F335,F338,F341,F344)</f>
        <v>11600000</v>
      </c>
      <c r="G334" s="25">
        <f t="shared" si="12"/>
        <v>66100000</v>
      </c>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row>
    <row r="335" spans="1:34" s="3" customFormat="1" ht="15.75">
      <c r="A335" s="31" t="s">
        <v>263</v>
      </c>
      <c r="B335" s="24" t="s">
        <v>259</v>
      </c>
      <c r="C335" s="26" t="s">
        <v>264</v>
      </c>
      <c r="D335" s="26"/>
      <c r="E335" s="27">
        <f>E336</f>
        <v>300000</v>
      </c>
      <c r="F335" s="27">
        <f>F336</f>
        <v>0</v>
      </c>
      <c r="G335" s="25">
        <f t="shared" si="12"/>
        <v>300000</v>
      </c>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row>
    <row r="336" spans="1:34" s="16" customFormat="1" ht="15.75">
      <c r="A336" s="28" t="s">
        <v>24</v>
      </c>
      <c r="B336" s="24" t="s">
        <v>259</v>
      </c>
      <c r="C336" s="26" t="s">
        <v>264</v>
      </c>
      <c r="D336" s="26">
        <v>800</v>
      </c>
      <c r="E336" s="27">
        <f>E337</f>
        <v>300000</v>
      </c>
      <c r="F336" s="27">
        <f>F337</f>
        <v>0</v>
      </c>
      <c r="G336" s="25">
        <f t="shared" si="12"/>
        <v>300000</v>
      </c>
      <c r="H336" s="3"/>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row>
    <row r="337" spans="1:34" s="3" customFormat="1" ht="47.25">
      <c r="A337" s="31" t="s">
        <v>181</v>
      </c>
      <c r="B337" s="24" t="s">
        <v>259</v>
      </c>
      <c r="C337" s="26" t="s">
        <v>264</v>
      </c>
      <c r="D337" s="26">
        <v>810</v>
      </c>
      <c r="E337" s="27">
        <v>300000</v>
      </c>
      <c r="F337" s="27">
        <v>0</v>
      </c>
      <c r="G337" s="25">
        <f t="shared" si="12"/>
        <v>300000</v>
      </c>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row>
    <row r="338" spans="1:34" s="16" customFormat="1" ht="31.5">
      <c r="A338" s="31" t="s">
        <v>265</v>
      </c>
      <c r="B338" s="24" t="s">
        <v>259</v>
      </c>
      <c r="C338" s="26" t="s">
        <v>266</v>
      </c>
      <c r="D338" s="26"/>
      <c r="E338" s="27">
        <f>E339</f>
        <v>52000000</v>
      </c>
      <c r="F338" s="27">
        <f>F339</f>
        <v>9600000</v>
      </c>
      <c r="G338" s="25">
        <f t="shared" si="12"/>
        <v>61600000</v>
      </c>
      <c r="H338" s="3"/>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row>
    <row r="339" spans="1:34" s="3" customFormat="1" ht="15.75">
      <c r="A339" s="31" t="s">
        <v>24</v>
      </c>
      <c r="B339" s="24" t="s">
        <v>259</v>
      </c>
      <c r="C339" s="26" t="s">
        <v>266</v>
      </c>
      <c r="D339" s="26">
        <v>800</v>
      </c>
      <c r="E339" s="27">
        <f>E340</f>
        <v>52000000</v>
      </c>
      <c r="F339" s="27">
        <f>F340</f>
        <v>9600000</v>
      </c>
      <c r="G339" s="25">
        <f t="shared" si="12"/>
        <v>61600000</v>
      </c>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row>
    <row r="340" spans="1:34" s="3" customFormat="1" ht="47.25">
      <c r="A340" s="31" t="s">
        <v>181</v>
      </c>
      <c r="B340" s="24" t="s">
        <v>259</v>
      </c>
      <c r="C340" s="26" t="s">
        <v>266</v>
      </c>
      <c r="D340" s="26">
        <v>810</v>
      </c>
      <c r="E340" s="27">
        <v>52000000</v>
      </c>
      <c r="F340" s="27">
        <v>9600000</v>
      </c>
      <c r="G340" s="25">
        <f t="shared" si="12"/>
        <v>61600000</v>
      </c>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row>
    <row r="341" spans="1:34" s="3" customFormat="1" ht="31.5">
      <c r="A341" s="31" t="s">
        <v>267</v>
      </c>
      <c r="B341" s="24" t="s">
        <v>259</v>
      </c>
      <c r="C341" s="26" t="s">
        <v>268</v>
      </c>
      <c r="D341" s="26"/>
      <c r="E341" s="27">
        <f>E342</f>
        <v>2000000</v>
      </c>
      <c r="F341" s="27">
        <f>F342</f>
        <v>2000000</v>
      </c>
      <c r="G341" s="25">
        <f t="shared" si="12"/>
        <v>4000000</v>
      </c>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row>
    <row r="342" spans="1:34" s="3" customFormat="1" ht="15.75">
      <c r="A342" s="31" t="s">
        <v>24</v>
      </c>
      <c r="B342" s="24" t="s">
        <v>259</v>
      </c>
      <c r="C342" s="26" t="s">
        <v>268</v>
      </c>
      <c r="D342" s="26">
        <v>800</v>
      </c>
      <c r="E342" s="27">
        <f>E343</f>
        <v>2000000</v>
      </c>
      <c r="F342" s="27">
        <f>F343</f>
        <v>2000000</v>
      </c>
      <c r="G342" s="25">
        <f t="shared" si="12"/>
        <v>4000000</v>
      </c>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row>
    <row r="343" spans="1:34" s="3" customFormat="1" ht="47.25">
      <c r="A343" s="31" t="s">
        <v>181</v>
      </c>
      <c r="B343" s="24" t="s">
        <v>259</v>
      </c>
      <c r="C343" s="26" t="s">
        <v>268</v>
      </c>
      <c r="D343" s="26">
        <v>810</v>
      </c>
      <c r="E343" s="27">
        <v>2000000</v>
      </c>
      <c r="F343" s="27">
        <v>2000000</v>
      </c>
      <c r="G343" s="25">
        <f t="shared" si="12"/>
        <v>4000000</v>
      </c>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row>
    <row r="344" spans="1:34" s="3" customFormat="1" ht="31.5">
      <c r="A344" s="31" t="s">
        <v>269</v>
      </c>
      <c r="B344" s="24" t="s">
        <v>259</v>
      </c>
      <c r="C344" s="26" t="s">
        <v>270</v>
      </c>
      <c r="D344" s="26"/>
      <c r="E344" s="27">
        <f>E345</f>
        <v>200000</v>
      </c>
      <c r="F344" s="27">
        <f>F345</f>
        <v>0</v>
      </c>
      <c r="G344" s="25">
        <f t="shared" si="12"/>
        <v>200000</v>
      </c>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row>
    <row r="345" spans="1:34" s="3" customFormat="1" ht="15.75">
      <c r="A345" s="31" t="s">
        <v>24</v>
      </c>
      <c r="B345" s="24" t="s">
        <v>259</v>
      </c>
      <c r="C345" s="26" t="s">
        <v>270</v>
      </c>
      <c r="D345" s="26">
        <v>800</v>
      </c>
      <c r="E345" s="27">
        <f>E346</f>
        <v>200000</v>
      </c>
      <c r="F345" s="27">
        <f>F346</f>
        <v>0</v>
      </c>
      <c r="G345" s="25">
        <f t="shared" si="12"/>
        <v>200000</v>
      </c>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row>
    <row r="346" spans="1:34" s="3" customFormat="1" ht="47.25">
      <c r="A346" s="31" t="s">
        <v>181</v>
      </c>
      <c r="B346" s="24" t="s">
        <v>259</v>
      </c>
      <c r="C346" s="26" t="s">
        <v>270</v>
      </c>
      <c r="D346" s="26">
        <v>810</v>
      </c>
      <c r="E346" s="27">
        <v>200000</v>
      </c>
      <c r="F346" s="27">
        <v>0</v>
      </c>
      <c r="G346" s="25">
        <f t="shared" si="12"/>
        <v>200000</v>
      </c>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row>
    <row r="347" spans="1:34" s="3" customFormat="1" ht="47.25">
      <c r="A347" s="31" t="s">
        <v>271</v>
      </c>
      <c r="B347" s="24" t="s">
        <v>259</v>
      </c>
      <c r="C347" s="26" t="s">
        <v>272</v>
      </c>
      <c r="D347" s="26"/>
      <c r="E347" s="27">
        <f>E348+E351</f>
        <v>1300000</v>
      </c>
      <c r="F347" s="27">
        <f>F348+F351</f>
        <v>0</v>
      </c>
      <c r="G347" s="25">
        <f t="shared" si="12"/>
        <v>1300000</v>
      </c>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row>
    <row r="348" spans="1:34" s="3" customFormat="1" ht="47.25">
      <c r="A348" s="31" t="s">
        <v>273</v>
      </c>
      <c r="B348" s="24" t="s">
        <v>259</v>
      </c>
      <c r="C348" s="26" t="s">
        <v>274</v>
      </c>
      <c r="D348" s="26"/>
      <c r="E348" s="27">
        <f>E349</f>
        <v>300000</v>
      </c>
      <c r="F348" s="27">
        <f>F349</f>
        <v>0</v>
      </c>
      <c r="G348" s="25">
        <f t="shared" si="12"/>
        <v>300000</v>
      </c>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row>
    <row r="349" spans="1:34" s="3" customFormat="1" ht="15.75">
      <c r="A349" s="28" t="s">
        <v>24</v>
      </c>
      <c r="B349" s="24" t="s">
        <v>259</v>
      </c>
      <c r="C349" s="26" t="s">
        <v>274</v>
      </c>
      <c r="D349" s="26">
        <v>800</v>
      </c>
      <c r="E349" s="27">
        <f>E350</f>
        <v>300000</v>
      </c>
      <c r="F349" s="27">
        <f>F350</f>
        <v>0</v>
      </c>
      <c r="G349" s="25">
        <f t="shared" si="12"/>
        <v>300000</v>
      </c>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row>
    <row r="350" spans="1:34" s="3" customFormat="1" ht="47.25">
      <c r="A350" s="31" t="s">
        <v>181</v>
      </c>
      <c r="B350" s="24" t="s">
        <v>259</v>
      </c>
      <c r="C350" s="26" t="s">
        <v>274</v>
      </c>
      <c r="D350" s="26">
        <v>810</v>
      </c>
      <c r="E350" s="49">
        <v>300000</v>
      </c>
      <c r="F350" s="49">
        <v>0</v>
      </c>
      <c r="G350" s="25">
        <f t="shared" si="12"/>
        <v>300000</v>
      </c>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row>
    <row r="351" spans="1:34" s="3" customFormat="1" ht="15.75">
      <c r="A351" s="31" t="s">
        <v>275</v>
      </c>
      <c r="B351" s="24" t="s">
        <v>259</v>
      </c>
      <c r="C351" s="26" t="s">
        <v>276</v>
      </c>
      <c r="D351" s="26"/>
      <c r="E351" s="49">
        <f>E352</f>
        <v>1000000</v>
      </c>
      <c r="F351" s="49">
        <f>F352</f>
        <v>0</v>
      </c>
      <c r="G351" s="25">
        <f t="shared" si="12"/>
        <v>1000000</v>
      </c>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row>
    <row r="352" spans="1:34" s="3" customFormat="1" ht="15.75">
      <c r="A352" s="28" t="s">
        <v>24</v>
      </c>
      <c r="B352" s="24" t="s">
        <v>259</v>
      </c>
      <c r="C352" s="26" t="s">
        <v>276</v>
      </c>
      <c r="D352" s="26">
        <v>800</v>
      </c>
      <c r="E352" s="49">
        <f>E353</f>
        <v>1000000</v>
      </c>
      <c r="F352" s="49">
        <f>F353</f>
        <v>0</v>
      </c>
      <c r="G352" s="25">
        <f t="shared" si="12"/>
        <v>1000000</v>
      </c>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row>
    <row r="353" spans="1:34" s="3" customFormat="1" ht="47.25">
      <c r="A353" s="31" t="s">
        <v>181</v>
      </c>
      <c r="B353" s="24" t="s">
        <v>259</v>
      </c>
      <c r="C353" s="26" t="s">
        <v>276</v>
      </c>
      <c r="D353" s="26">
        <v>810</v>
      </c>
      <c r="E353" s="49">
        <v>1000000</v>
      </c>
      <c r="F353" s="49">
        <v>0</v>
      </c>
      <c r="G353" s="25">
        <f t="shared" si="12"/>
        <v>1000000</v>
      </c>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row>
    <row r="354" spans="1:34" s="3" customFormat="1" ht="15.75">
      <c r="A354" s="31" t="s">
        <v>30</v>
      </c>
      <c r="B354" s="24" t="s">
        <v>259</v>
      </c>
      <c r="C354" s="26" t="s">
        <v>31</v>
      </c>
      <c r="D354" s="26"/>
      <c r="E354" s="49">
        <f aca="true" t="shared" si="14" ref="E354:F357">E355</f>
        <v>0</v>
      </c>
      <c r="F354" s="49">
        <f t="shared" si="14"/>
        <v>999999</v>
      </c>
      <c r="G354" s="25">
        <f t="shared" si="12"/>
        <v>999999</v>
      </c>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row>
    <row r="355" spans="1:34" s="3" customFormat="1" ht="36.75" customHeight="1">
      <c r="A355" s="31" t="s">
        <v>59</v>
      </c>
      <c r="B355" s="24" t="s">
        <v>259</v>
      </c>
      <c r="C355" s="26" t="s">
        <v>60</v>
      </c>
      <c r="D355" s="26"/>
      <c r="E355" s="49">
        <f t="shared" si="14"/>
        <v>0</v>
      </c>
      <c r="F355" s="49">
        <f t="shared" si="14"/>
        <v>999999</v>
      </c>
      <c r="G355" s="25">
        <f t="shared" si="12"/>
        <v>999999</v>
      </c>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row>
    <row r="356" spans="1:34" s="3" customFormat="1" ht="35.25" customHeight="1">
      <c r="A356" s="31" t="s">
        <v>277</v>
      </c>
      <c r="B356" s="24" t="s">
        <v>259</v>
      </c>
      <c r="C356" s="26" t="s">
        <v>278</v>
      </c>
      <c r="D356" s="26"/>
      <c r="E356" s="49">
        <f t="shared" si="14"/>
        <v>0</v>
      </c>
      <c r="F356" s="49">
        <f t="shared" si="14"/>
        <v>999999</v>
      </c>
      <c r="G356" s="25">
        <f t="shared" si="12"/>
        <v>999999</v>
      </c>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row>
    <row r="357" spans="1:34" s="3" customFormat="1" ht="31.5">
      <c r="A357" s="35" t="s">
        <v>20</v>
      </c>
      <c r="B357" s="24" t="s">
        <v>259</v>
      </c>
      <c r="C357" s="26" t="s">
        <v>278</v>
      </c>
      <c r="D357" s="26">
        <v>200</v>
      </c>
      <c r="E357" s="49">
        <f t="shared" si="14"/>
        <v>0</v>
      </c>
      <c r="F357" s="49">
        <f t="shared" si="14"/>
        <v>999999</v>
      </c>
      <c r="G357" s="25">
        <f t="shared" si="12"/>
        <v>999999</v>
      </c>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row>
    <row r="358" spans="1:34" s="3" customFormat="1" ht="31.5">
      <c r="A358" s="35" t="s">
        <v>22</v>
      </c>
      <c r="B358" s="24" t="s">
        <v>259</v>
      </c>
      <c r="C358" s="26" t="s">
        <v>278</v>
      </c>
      <c r="D358" s="26">
        <v>240</v>
      </c>
      <c r="E358" s="49">
        <v>0</v>
      </c>
      <c r="F358" s="49">
        <f>2000000-1000001</f>
        <v>999999</v>
      </c>
      <c r="G358" s="25">
        <f t="shared" si="12"/>
        <v>999999</v>
      </c>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row>
    <row r="359" spans="1:34" s="3" customFormat="1" ht="15.75">
      <c r="A359" s="20" t="s">
        <v>279</v>
      </c>
      <c r="B359" s="21" t="s">
        <v>280</v>
      </c>
      <c r="C359" s="59"/>
      <c r="D359" s="59"/>
      <c r="E359" s="47">
        <f>SUM(E370,E360,E403)</f>
        <v>156212239.29</v>
      </c>
      <c r="F359" s="47">
        <f>SUM(F370,F360,F403)</f>
        <v>40704183.94</v>
      </c>
      <c r="G359" s="22">
        <f t="shared" si="12"/>
        <v>196916423.23</v>
      </c>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row>
    <row r="360" spans="1:34" s="3" customFormat="1" ht="47.25">
      <c r="A360" s="31" t="s">
        <v>271</v>
      </c>
      <c r="B360" s="24" t="s">
        <v>280</v>
      </c>
      <c r="C360" s="26" t="s">
        <v>272</v>
      </c>
      <c r="D360" s="26"/>
      <c r="E360" s="27">
        <f>SUM(E367,E364,E361)</f>
        <v>7438783.92</v>
      </c>
      <c r="F360" s="27">
        <f>SUM(F367,F364,F361)</f>
        <v>7780356.83</v>
      </c>
      <c r="G360" s="25">
        <f t="shared" si="12"/>
        <v>15219140.75</v>
      </c>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row>
    <row r="361" spans="1:34" s="3" customFormat="1" ht="15.75">
      <c r="A361" s="31" t="s">
        <v>281</v>
      </c>
      <c r="B361" s="33" t="s">
        <v>280</v>
      </c>
      <c r="C361" s="26" t="s">
        <v>282</v>
      </c>
      <c r="D361" s="26"/>
      <c r="E361" s="27">
        <f>E362</f>
        <v>0</v>
      </c>
      <c r="F361" s="27">
        <f>F362</f>
        <v>7780356.83</v>
      </c>
      <c r="G361" s="25">
        <f t="shared" si="12"/>
        <v>7780356.83</v>
      </c>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row>
    <row r="362" spans="1:34" s="3" customFormat="1" ht="15.75">
      <c r="A362" s="28" t="s">
        <v>24</v>
      </c>
      <c r="B362" s="33" t="s">
        <v>280</v>
      </c>
      <c r="C362" s="26" t="s">
        <v>282</v>
      </c>
      <c r="D362" s="26">
        <v>800</v>
      </c>
      <c r="E362" s="27">
        <f>E363</f>
        <v>0</v>
      </c>
      <c r="F362" s="27">
        <f>F363</f>
        <v>7780356.83</v>
      </c>
      <c r="G362" s="25">
        <f t="shared" si="12"/>
        <v>7780356.83</v>
      </c>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row>
    <row r="363" spans="1:34" s="3" customFormat="1" ht="47.25">
      <c r="A363" s="31" t="s">
        <v>181</v>
      </c>
      <c r="B363" s="33" t="s">
        <v>280</v>
      </c>
      <c r="C363" s="26" t="s">
        <v>282</v>
      </c>
      <c r="D363" s="26">
        <v>810</v>
      </c>
      <c r="E363" s="27">
        <v>0</v>
      </c>
      <c r="F363" s="27">
        <v>7780356.83</v>
      </c>
      <c r="G363" s="25">
        <f t="shared" si="12"/>
        <v>7780356.83</v>
      </c>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row>
    <row r="364" spans="1:34" s="38" customFormat="1" ht="78.75">
      <c r="A364" s="48" t="s">
        <v>283</v>
      </c>
      <c r="B364" s="33" t="s">
        <v>280</v>
      </c>
      <c r="C364" s="36" t="s">
        <v>284</v>
      </c>
      <c r="D364" s="36"/>
      <c r="E364" s="37">
        <f>E365</f>
        <v>5438783.92</v>
      </c>
      <c r="F364" s="37">
        <f>F365</f>
        <v>0</v>
      </c>
      <c r="G364" s="25">
        <f t="shared" si="12"/>
        <v>5438783.92</v>
      </c>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row>
    <row r="365" spans="1:34" s="38" customFormat="1" ht="31.5">
      <c r="A365" s="35" t="s">
        <v>20</v>
      </c>
      <c r="B365" s="33" t="s">
        <v>280</v>
      </c>
      <c r="C365" s="36" t="s">
        <v>284</v>
      </c>
      <c r="D365" s="36">
        <v>200</v>
      </c>
      <c r="E365" s="37">
        <f>E366</f>
        <v>5438783.92</v>
      </c>
      <c r="F365" s="37">
        <f>F366</f>
        <v>0</v>
      </c>
      <c r="G365" s="25">
        <f t="shared" si="12"/>
        <v>5438783.92</v>
      </c>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row>
    <row r="366" spans="1:34" s="38" customFormat="1" ht="31.5">
      <c r="A366" s="35" t="s">
        <v>22</v>
      </c>
      <c r="B366" s="33" t="s">
        <v>280</v>
      </c>
      <c r="C366" s="36" t="s">
        <v>284</v>
      </c>
      <c r="D366" s="36">
        <v>240</v>
      </c>
      <c r="E366" s="37">
        <f>1350+5437433.92</f>
        <v>5438783.92</v>
      </c>
      <c r="F366" s="37">
        <v>0</v>
      </c>
      <c r="G366" s="25">
        <f t="shared" si="12"/>
        <v>5438783.92</v>
      </c>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row>
    <row r="367" spans="1:34" s="3" customFormat="1" ht="15.75">
      <c r="A367" s="31" t="s">
        <v>285</v>
      </c>
      <c r="B367" s="24" t="s">
        <v>280</v>
      </c>
      <c r="C367" s="26" t="s">
        <v>286</v>
      </c>
      <c r="D367" s="26"/>
      <c r="E367" s="27">
        <f>E368</f>
        <v>2000000</v>
      </c>
      <c r="F367" s="27">
        <f>F368</f>
        <v>0</v>
      </c>
      <c r="G367" s="25">
        <f t="shared" si="12"/>
        <v>2000000</v>
      </c>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row>
    <row r="368" spans="1:34" s="3" customFormat="1" ht="31.5">
      <c r="A368" s="31" t="s">
        <v>208</v>
      </c>
      <c r="B368" s="24" t="s">
        <v>280</v>
      </c>
      <c r="C368" s="26" t="s">
        <v>286</v>
      </c>
      <c r="D368" s="26">
        <v>400</v>
      </c>
      <c r="E368" s="27">
        <f>E369</f>
        <v>2000000</v>
      </c>
      <c r="F368" s="27">
        <f>F369</f>
        <v>0</v>
      </c>
      <c r="G368" s="25">
        <f t="shared" si="12"/>
        <v>2000000</v>
      </c>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row>
    <row r="369" spans="1:34" s="3" customFormat="1" ht="110.25">
      <c r="A369" s="31" t="s">
        <v>287</v>
      </c>
      <c r="B369" s="24" t="s">
        <v>280</v>
      </c>
      <c r="C369" s="26" t="s">
        <v>286</v>
      </c>
      <c r="D369" s="26">
        <v>460</v>
      </c>
      <c r="E369" s="27">
        <v>2000000</v>
      </c>
      <c r="F369" s="27">
        <v>0</v>
      </c>
      <c r="G369" s="25">
        <f t="shared" si="12"/>
        <v>2000000</v>
      </c>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row>
    <row r="370" spans="1:34" s="3" customFormat="1" ht="31.5">
      <c r="A370" s="31" t="s">
        <v>288</v>
      </c>
      <c r="B370" s="24" t="s">
        <v>280</v>
      </c>
      <c r="C370" s="26" t="s">
        <v>90</v>
      </c>
      <c r="D370" s="26"/>
      <c r="E370" s="27">
        <f>SUM(E371,E378,E396,E400,E375,E381,E387,E390,E384,E393)</f>
        <v>128773455.37</v>
      </c>
      <c r="F370" s="27">
        <f>SUM(F371,F378,F396,F400,F375,F381,F387,F390,F384,F393)</f>
        <v>27923827.11</v>
      </c>
      <c r="G370" s="25">
        <f t="shared" si="12"/>
        <v>156697282.48000002</v>
      </c>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row>
    <row r="371" spans="1:34" s="3" customFormat="1" ht="47.25">
      <c r="A371" s="48" t="s">
        <v>289</v>
      </c>
      <c r="B371" s="33" t="s">
        <v>280</v>
      </c>
      <c r="C371" s="36" t="s">
        <v>290</v>
      </c>
      <c r="D371" s="36"/>
      <c r="E371" s="37">
        <f>E372</f>
        <v>4492524.29</v>
      </c>
      <c r="F371" s="37">
        <f>F372</f>
        <v>0</v>
      </c>
      <c r="G371" s="25">
        <f t="shared" si="12"/>
        <v>4492524.29</v>
      </c>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row>
    <row r="372" spans="1:34" s="3" customFormat="1" ht="31.5">
      <c r="A372" s="48" t="s">
        <v>208</v>
      </c>
      <c r="B372" s="33" t="s">
        <v>280</v>
      </c>
      <c r="C372" s="36" t="s">
        <v>290</v>
      </c>
      <c r="D372" s="36">
        <v>400</v>
      </c>
      <c r="E372" s="37">
        <f>E373+E374</f>
        <v>4492524.29</v>
      </c>
      <c r="F372" s="37">
        <f>F373+F374</f>
        <v>0</v>
      </c>
      <c r="G372" s="25">
        <f t="shared" si="12"/>
        <v>4492524.29</v>
      </c>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row>
    <row r="373" spans="1:34" s="3" customFormat="1" ht="15.75">
      <c r="A373" s="48" t="s">
        <v>209</v>
      </c>
      <c r="B373" s="33" t="s">
        <v>280</v>
      </c>
      <c r="C373" s="36" t="s">
        <v>290</v>
      </c>
      <c r="D373" s="36">
        <v>410</v>
      </c>
      <c r="E373" s="37">
        <v>4492524.29</v>
      </c>
      <c r="F373" s="37">
        <v>-424682.87</v>
      </c>
      <c r="G373" s="25">
        <f t="shared" si="12"/>
        <v>4067841.42</v>
      </c>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row>
    <row r="374" spans="1:34" s="3" customFormat="1" ht="15.75">
      <c r="A374" s="48"/>
      <c r="B374" s="33" t="s">
        <v>280</v>
      </c>
      <c r="C374" s="36" t="s">
        <v>290</v>
      </c>
      <c r="D374" s="84">
        <v>460</v>
      </c>
      <c r="E374" s="37">
        <v>0</v>
      </c>
      <c r="F374" s="37">
        <v>424682.87</v>
      </c>
      <c r="G374" s="25">
        <f t="shared" si="12"/>
        <v>424682.87</v>
      </c>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row>
    <row r="375" spans="1:34" s="3" customFormat="1" ht="31.5">
      <c r="A375" s="31" t="s">
        <v>291</v>
      </c>
      <c r="B375" s="24" t="s">
        <v>280</v>
      </c>
      <c r="C375" s="26" t="s">
        <v>292</v>
      </c>
      <c r="D375" s="85"/>
      <c r="E375" s="27">
        <f>E376</f>
        <v>6000000</v>
      </c>
      <c r="F375" s="27">
        <f>F376</f>
        <v>-4087128</v>
      </c>
      <c r="G375" s="25">
        <f t="shared" si="12"/>
        <v>1912872</v>
      </c>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row>
    <row r="376" spans="1:34" s="3" customFormat="1" ht="31.5">
      <c r="A376" s="31" t="s">
        <v>208</v>
      </c>
      <c r="B376" s="24" t="s">
        <v>280</v>
      </c>
      <c r="C376" s="26" t="s">
        <v>292</v>
      </c>
      <c r="D376" s="85">
        <v>400</v>
      </c>
      <c r="E376" s="27">
        <f>E377</f>
        <v>6000000</v>
      </c>
      <c r="F376" s="27">
        <f>F377</f>
        <v>-4087128</v>
      </c>
      <c r="G376" s="25">
        <f t="shared" si="12"/>
        <v>1912872</v>
      </c>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row>
    <row r="377" spans="1:34" s="3" customFormat="1" ht="15.75">
      <c r="A377" s="31" t="s">
        <v>209</v>
      </c>
      <c r="B377" s="24" t="s">
        <v>280</v>
      </c>
      <c r="C377" s="26" t="s">
        <v>292</v>
      </c>
      <c r="D377" s="85">
        <v>410</v>
      </c>
      <c r="E377" s="27">
        <v>6000000</v>
      </c>
      <c r="F377" s="27">
        <f>-2087128-2000000</f>
        <v>-4087128</v>
      </c>
      <c r="G377" s="25">
        <f t="shared" si="12"/>
        <v>1912872</v>
      </c>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row>
    <row r="378" spans="1:34" s="3" customFormat="1" ht="31.5">
      <c r="A378" s="31" t="s">
        <v>293</v>
      </c>
      <c r="B378" s="24" t="s">
        <v>280</v>
      </c>
      <c r="C378" s="26" t="s">
        <v>294</v>
      </c>
      <c r="D378" s="85"/>
      <c r="E378" s="27">
        <f>E379</f>
        <v>218525.05</v>
      </c>
      <c r="F378" s="27">
        <f>F379</f>
        <v>0</v>
      </c>
      <c r="G378" s="25">
        <f t="shared" si="12"/>
        <v>218525.05</v>
      </c>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row>
    <row r="379" spans="1:34" s="3" customFormat="1" ht="31.5">
      <c r="A379" s="31" t="s">
        <v>208</v>
      </c>
      <c r="B379" s="24" t="s">
        <v>280</v>
      </c>
      <c r="C379" s="26" t="s">
        <v>294</v>
      </c>
      <c r="D379" s="85">
        <v>400</v>
      </c>
      <c r="E379" s="27">
        <f>E380</f>
        <v>218525.05</v>
      </c>
      <c r="F379" s="27">
        <f>F380</f>
        <v>0</v>
      </c>
      <c r="G379" s="25">
        <f t="shared" si="12"/>
        <v>218525.05</v>
      </c>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row>
    <row r="380" spans="1:34" s="3" customFormat="1" ht="15.75">
      <c r="A380" s="31" t="s">
        <v>209</v>
      </c>
      <c r="B380" s="24" t="s">
        <v>280</v>
      </c>
      <c r="C380" s="26" t="s">
        <v>294</v>
      </c>
      <c r="D380" s="85">
        <v>410</v>
      </c>
      <c r="E380" s="27">
        <v>218525.05</v>
      </c>
      <c r="F380" s="27">
        <v>0</v>
      </c>
      <c r="G380" s="25">
        <f t="shared" si="12"/>
        <v>218525.05</v>
      </c>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row>
    <row r="381" spans="1:34" s="3" customFormat="1" ht="31.5">
      <c r="A381" s="31" t="s">
        <v>295</v>
      </c>
      <c r="B381" s="24" t="s">
        <v>280</v>
      </c>
      <c r="C381" s="26" t="s">
        <v>296</v>
      </c>
      <c r="D381" s="85"/>
      <c r="E381" s="27">
        <f>E382</f>
        <v>3000000</v>
      </c>
      <c r="F381" s="27">
        <f>F382</f>
        <v>0</v>
      </c>
      <c r="G381" s="25">
        <f t="shared" si="12"/>
        <v>3000000</v>
      </c>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row>
    <row r="382" spans="1:34" s="3" customFormat="1" ht="31.5">
      <c r="A382" s="31" t="s">
        <v>208</v>
      </c>
      <c r="B382" s="24" t="s">
        <v>280</v>
      </c>
      <c r="C382" s="26" t="s">
        <v>296</v>
      </c>
      <c r="D382" s="85">
        <v>400</v>
      </c>
      <c r="E382" s="27">
        <f>E383</f>
        <v>3000000</v>
      </c>
      <c r="F382" s="27">
        <f>F383</f>
        <v>0</v>
      </c>
      <c r="G382" s="25">
        <f t="shared" si="12"/>
        <v>3000000</v>
      </c>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row>
    <row r="383" spans="1:34" s="3" customFormat="1" ht="15.75">
      <c r="A383" s="31" t="s">
        <v>209</v>
      </c>
      <c r="B383" s="24" t="s">
        <v>280</v>
      </c>
      <c r="C383" s="26" t="s">
        <v>296</v>
      </c>
      <c r="D383" s="85">
        <v>410</v>
      </c>
      <c r="E383" s="27">
        <v>3000000</v>
      </c>
      <c r="F383" s="27">
        <v>0</v>
      </c>
      <c r="G383" s="25">
        <f t="shared" si="12"/>
        <v>3000000</v>
      </c>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row>
    <row r="384" spans="1:34" s="3" customFormat="1" ht="47.25">
      <c r="A384" s="86" t="s">
        <v>297</v>
      </c>
      <c r="B384" s="87" t="s">
        <v>280</v>
      </c>
      <c r="C384" s="88" t="s">
        <v>298</v>
      </c>
      <c r="D384" s="89"/>
      <c r="E384" s="56">
        <f>E385</f>
        <v>0</v>
      </c>
      <c r="F384" s="56">
        <f>F385</f>
        <v>14668192.19</v>
      </c>
      <c r="G384" s="57">
        <f t="shared" si="12"/>
        <v>14668192.19</v>
      </c>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row>
    <row r="385" spans="1:34" s="3" customFormat="1" ht="31.5">
      <c r="A385" s="86" t="s">
        <v>208</v>
      </c>
      <c r="B385" s="87" t="s">
        <v>280</v>
      </c>
      <c r="C385" s="88" t="s">
        <v>298</v>
      </c>
      <c r="D385" s="89">
        <v>400</v>
      </c>
      <c r="E385" s="56">
        <f>E386</f>
        <v>0</v>
      </c>
      <c r="F385" s="56">
        <f>F386</f>
        <v>14668192.19</v>
      </c>
      <c r="G385" s="57">
        <f t="shared" si="12"/>
        <v>14668192.19</v>
      </c>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row>
    <row r="386" spans="1:34" s="3" customFormat="1" ht="110.25">
      <c r="A386" s="31" t="s">
        <v>287</v>
      </c>
      <c r="B386" s="87" t="s">
        <v>280</v>
      </c>
      <c r="C386" s="88" t="s">
        <v>298</v>
      </c>
      <c r="D386" s="89">
        <v>460</v>
      </c>
      <c r="E386" s="56"/>
      <c r="F386" s="58">
        <v>14668192.19</v>
      </c>
      <c r="G386" s="57">
        <f t="shared" si="12"/>
        <v>14668192.19</v>
      </c>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row>
    <row r="387" spans="1:34" s="3" customFormat="1" ht="31.5">
      <c r="A387" s="31" t="s">
        <v>299</v>
      </c>
      <c r="B387" s="24" t="s">
        <v>280</v>
      </c>
      <c r="C387" s="26" t="s">
        <v>300</v>
      </c>
      <c r="D387" s="85"/>
      <c r="E387" s="27">
        <f>E388</f>
        <v>1000000</v>
      </c>
      <c r="F387" s="27">
        <f>F388</f>
        <v>0</v>
      </c>
      <c r="G387" s="25">
        <f t="shared" si="12"/>
        <v>1000000</v>
      </c>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row>
    <row r="388" spans="1:34" s="3" customFormat="1" ht="31.5">
      <c r="A388" s="31" t="s">
        <v>208</v>
      </c>
      <c r="B388" s="24" t="s">
        <v>280</v>
      </c>
      <c r="C388" s="26" t="s">
        <v>300</v>
      </c>
      <c r="D388" s="85">
        <v>400</v>
      </c>
      <c r="E388" s="27">
        <f>E389</f>
        <v>1000000</v>
      </c>
      <c r="F388" s="27">
        <f>F389</f>
        <v>0</v>
      </c>
      <c r="G388" s="25">
        <f t="shared" si="12"/>
        <v>1000000</v>
      </c>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row>
    <row r="389" spans="1:34" s="3" customFormat="1" ht="15.75">
      <c r="A389" s="31" t="s">
        <v>209</v>
      </c>
      <c r="B389" s="24" t="s">
        <v>280</v>
      </c>
      <c r="C389" s="26" t="s">
        <v>300</v>
      </c>
      <c r="D389" s="85">
        <v>410</v>
      </c>
      <c r="E389" s="27">
        <v>1000000</v>
      </c>
      <c r="F389" s="27">
        <v>0</v>
      </c>
      <c r="G389" s="25">
        <f t="shared" si="12"/>
        <v>1000000</v>
      </c>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row>
    <row r="390" spans="1:34" s="38" customFormat="1" ht="120.75" customHeight="1">
      <c r="A390" s="48" t="s">
        <v>301</v>
      </c>
      <c r="B390" s="33" t="s">
        <v>280</v>
      </c>
      <c r="C390" s="36" t="s">
        <v>302</v>
      </c>
      <c r="D390" s="84"/>
      <c r="E390" s="37">
        <f>E391</f>
        <v>5010000</v>
      </c>
      <c r="F390" s="37">
        <f>F391</f>
        <v>0</v>
      </c>
      <c r="G390" s="25">
        <f t="shared" si="12"/>
        <v>5010000</v>
      </c>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row>
    <row r="391" spans="1:34" s="38" customFormat="1" ht="31.5">
      <c r="A391" s="48" t="s">
        <v>208</v>
      </c>
      <c r="B391" s="33" t="s">
        <v>280</v>
      </c>
      <c r="C391" s="36" t="s">
        <v>302</v>
      </c>
      <c r="D391" s="84">
        <v>400</v>
      </c>
      <c r="E391" s="37">
        <f>E392</f>
        <v>5010000</v>
      </c>
      <c r="F391" s="37">
        <f>F392</f>
        <v>0</v>
      </c>
      <c r="G391" s="25">
        <f aca="true" t="shared" si="15" ref="G391:G454">SUM(E391:F391)</f>
        <v>5010000</v>
      </c>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row>
    <row r="392" spans="1:34" s="38" customFormat="1" ht="15.75">
      <c r="A392" s="48" t="s">
        <v>209</v>
      </c>
      <c r="B392" s="33" t="s">
        <v>280</v>
      </c>
      <c r="C392" s="36" t="s">
        <v>302</v>
      </c>
      <c r="D392" s="84">
        <v>410</v>
      </c>
      <c r="E392" s="37">
        <f>10000+5000000</f>
        <v>5010000</v>
      </c>
      <c r="F392" s="37">
        <v>0</v>
      </c>
      <c r="G392" s="25">
        <f t="shared" si="15"/>
        <v>5010000</v>
      </c>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row>
    <row r="393" spans="1:34" s="38" customFormat="1" ht="31.5">
      <c r="A393" s="31" t="s">
        <v>303</v>
      </c>
      <c r="B393" s="24" t="s">
        <v>280</v>
      </c>
      <c r="C393" s="26" t="s">
        <v>304</v>
      </c>
      <c r="D393" s="85"/>
      <c r="E393" s="27">
        <f>E394</f>
        <v>0</v>
      </c>
      <c r="F393" s="27">
        <f>F394</f>
        <v>16876666.67</v>
      </c>
      <c r="G393" s="25">
        <f t="shared" si="15"/>
        <v>16876666.67</v>
      </c>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row>
    <row r="394" spans="1:34" s="38" customFormat="1" ht="31.5">
      <c r="A394" s="31" t="s">
        <v>208</v>
      </c>
      <c r="B394" s="24" t="s">
        <v>280</v>
      </c>
      <c r="C394" s="26" t="s">
        <v>304</v>
      </c>
      <c r="D394" s="85">
        <v>400</v>
      </c>
      <c r="E394" s="27">
        <f>E395</f>
        <v>0</v>
      </c>
      <c r="F394" s="27">
        <f>F395</f>
        <v>16876666.67</v>
      </c>
      <c r="G394" s="25">
        <f t="shared" si="15"/>
        <v>16876666.67</v>
      </c>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row>
    <row r="395" spans="1:34" s="38" customFormat="1" ht="110.25">
      <c r="A395" s="31" t="s">
        <v>287</v>
      </c>
      <c r="B395" s="24" t="s">
        <v>280</v>
      </c>
      <c r="C395" s="26" t="s">
        <v>304</v>
      </c>
      <c r="D395" s="85">
        <v>460</v>
      </c>
      <c r="E395" s="27"/>
      <c r="F395" s="27">
        <v>16876666.67</v>
      </c>
      <c r="G395" s="25">
        <f t="shared" si="15"/>
        <v>16876666.67</v>
      </c>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row>
    <row r="396" spans="1:34" s="38" customFormat="1" ht="55.5" customHeight="1">
      <c r="A396" s="48" t="s">
        <v>305</v>
      </c>
      <c r="B396" s="33" t="s">
        <v>280</v>
      </c>
      <c r="C396" s="36" t="s">
        <v>306</v>
      </c>
      <c r="D396" s="36"/>
      <c r="E396" s="37">
        <f>E397</f>
        <v>46191370.71</v>
      </c>
      <c r="F396" s="37">
        <f>F397</f>
        <v>466096.25</v>
      </c>
      <c r="G396" s="25">
        <f t="shared" si="15"/>
        <v>46657466.96</v>
      </c>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row>
    <row r="397" spans="1:34" s="38" customFormat="1" ht="31.5">
      <c r="A397" s="48" t="s">
        <v>208</v>
      </c>
      <c r="B397" s="33" t="s">
        <v>280</v>
      </c>
      <c r="C397" s="36" t="s">
        <v>306</v>
      </c>
      <c r="D397" s="36">
        <v>400</v>
      </c>
      <c r="E397" s="37">
        <f>E398+E399</f>
        <v>46191370.71</v>
      </c>
      <c r="F397" s="37">
        <f>F398+F399</f>
        <v>466096.25</v>
      </c>
      <c r="G397" s="25">
        <f t="shared" si="15"/>
        <v>46657466.96</v>
      </c>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row>
    <row r="398" spans="1:34" s="38" customFormat="1" ht="15.75">
      <c r="A398" s="48" t="s">
        <v>209</v>
      </c>
      <c r="B398" s="33" t="s">
        <v>280</v>
      </c>
      <c r="C398" s="36" t="s">
        <v>306</v>
      </c>
      <c r="D398" s="36">
        <v>410</v>
      </c>
      <c r="E398" s="37">
        <v>46191370.71</v>
      </c>
      <c r="F398" s="37">
        <f>461435.29+4660.96-46657466.96</f>
        <v>-46191370.71</v>
      </c>
      <c r="G398" s="25">
        <f t="shared" si="15"/>
        <v>0</v>
      </c>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row>
    <row r="399" spans="1:34" s="38" customFormat="1" ht="102" customHeight="1">
      <c r="A399" s="80" t="s">
        <v>307</v>
      </c>
      <c r="B399" s="33" t="s">
        <v>280</v>
      </c>
      <c r="C399" s="36" t="s">
        <v>306</v>
      </c>
      <c r="D399" s="36">
        <v>460</v>
      </c>
      <c r="E399" s="37">
        <v>0</v>
      </c>
      <c r="F399" s="37">
        <v>46657466.96</v>
      </c>
      <c r="G399" s="25">
        <f t="shared" si="15"/>
        <v>46657466.96</v>
      </c>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row>
    <row r="400" spans="1:34" s="38" customFormat="1" ht="77.25" customHeight="1">
      <c r="A400" s="48" t="s">
        <v>308</v>
      </c>
      <c r="B400" s="33" t="s">
        <v>280</v>
      </c>
      <c r="C400" s="36" t="s">
        <v>309</v>
      </c>
      <c r="D400" s="36"/>
      <c r="E400" s="37">
        <f>E401</f>
        <v>62861035.32</v>
      </c>
      <c r="F400" s="37">
        <f>F401</f>
        <v>0</v>
      </c>
      <c r="G400" s="25">
        <f t="shared" si="15"/>
        <v>62861035.32</v>
      </c>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row>
    <row r="401" spans="1:34" s="38" customFormat="1" ht="31.5">
      <c r="A401" s="48" t="s">
        <v>208</v>
      </c>
      <c r="B401" s="33" t="s">
        <v>280</v>
      </c>
      <c r="C401" s="36" t="s">
        <v>309</v>
      </c>
      <c r="D401" s="36">
        <v>400</v>
      </c>
      <c r="E401" s="37">
        <f>E402</f>
        <v>62861035.32</v>
      </c>
      <c r="F401" s="37">
        <f>F402</f>
        <v>0</v>
      </c>
      <c r="G401" s="25">
        <f t="shared" si="15"/>
        <v>62861035.32</v>
      </c>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row>
    <row r="402" spans="1:34" s="38" customFormat="1" ht="15.75">
      <c r="A402" s="48" t="s">
        <v>209</v>
      </c>
      <c r="B402" s="33" t="s">
        <v>280</v>
      </c>
      <c r="C402" s="36" t="s">
        <v>309</v>
      </c>
      <c r="D402" s="36">
        <v>410</v>
      </c>
      <c r="E402" s="37">
        <v>62861035.32</v>
      </c>
      <c r="F402" s="37">
        <v>0</v>
      </c>
      <c r="G402" s="25">
        <f t="shared" si="15"/>
        <v>62861035.32</v>
      </c>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row>
    <row r="403" spans="1:34" s="3" customFormat="1" ht="15.75">
      <c r="A403" s="30" t="s">
        <v>30</v>
      </c>
      <c r="B403" s="24" t="s">
        <v>280</v>
      </c>
      <c r="C403" s="26" t="s">
        <v>31</v>
      </c>
      <c r="D403" s="59"/>
      <c r="E403" s="27">
        <f>E404</f>
        <v>20000000</v>
      </c>
      <c r="F403" s="27">
        <f>F404</f>
        <v>5000000</v>
      </c>
      <c r="G403" s="25">
        <f t="shared" si="15"/>
        <v>25000000</v>
      </c>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row>
    <row r="404" spans="1:34" s="3" customFormat="1" ht="31.5">
      <c r="A404" s="31" t="s">
        <v>59</v>
      </c>
      <c r="B404" s="24" t="s">
        <v>280</v>
      </c>
      <c r="C404" s="26" t="s">
        <v>60</v>
      </c>
      <c r="D404" s="26"/>
      <c r="E404" s="27">
        <f>SUM(E405,E408)</f>
        <v>20000000</v>
      </c>
      <c r="F404" s="27">
        <f>SUM(F405,F408)</f>
        <v>5000000</v>
      </c>
      <c r="G404" s="25">
        <f t="shared" si="15"/>
        <v>25000000</v>
      </c>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row>
    <row r="405" spans="1:34" s="3" customFormat="1" ht="63">
      <c r="A405" s="31" t="s">
        <v>310</v>
      </c>
      <c r="B405" s="24" t="s">
        <v>280</v>
      </c>
      <c r="C405" s="26" t="s">
        <v>311</v>
      </c>
      <c r="D405" s="26"/>
      <c r="E405" s="49">
        <f>E406</f>
        <v>20000000</v>
      </c>
      <c r="F405" s="49">
        <f>F406</f>
        <v>0</v>
      </c>
      <c r="G405" s="25">
        <f t="shared" si="15"/>
        <v>20000000</v>
      </c>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row>
    <row r="406" spans="1:34" s="3" customFormat="1" ht="15.75">
      <c r="A406" s="31" t="s">
        <v>24</v>
      </c>
      <c r="B406" s="24" t="s">
        <v>280</v>
      </c>
      <c r="C406" s="26" t="s">
        <v>311</v>
      </c>
      <c r="D406" s="26">
        <v>800</v>
      </c>
      <c r="E406" s="49">
        <f>E407</f>
        <v>20000000</v>
      </c>
      <c r="F406" s="49">
        <f>F407</f>
        <v>0</v>
      </c>
      <c r="G406" s="25">
        <f t="shared" si="15"/>
        <v>20000000</v>
      </c>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row>
    <row r="407" spans="1:34" s="3" customFormat="1" ht="47.25">
      <c r="A407" s="31" t="s">
        <v>181</v>
      </c>
      <c r="B407" s="24" t="s">
        <v>280</v>
      </c>
      <c r="C407" s="26" t="s">
        <v>311</v>
      </c>
      <c r="D407" s="26">
        <v>810</v>
      </c>
      <c r="E407" s="49">
        <v>20000000</v>
      </c>
      <c r="F407" s="49">
        <v>0</v>
      </c>
      <c r="G407" s="25">
        <f t="shared" si="15"/>
        <v>20000000</v>
      </c>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row>
    <row r="408" spans="1:34" s="3" customFormat="1" ht="47.25">
      <c r="A408" s="86" t="s">
        <v>312</v>
      </c>
      <c r="B408" s="24" t="s">
        <v>280</v>
      </c>
      <c r="C408" s="88" t="s">
        <v>313</v>
      </c>
      <c r="D408" s="88"/>
      <c r="E408" s="58">
        <f>E409</f>
        <v>0</v>
      </c>
      <c r="F408" s="58">
        <f>F409</f>
        <v>5000000</v>
      </c>
      <c r="G408" s="57">
        <f t="shared" si="15"/>
        <v>5000000</v>
      </c>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row>
    <row r="409" spans="1:34" s="3" customFormat="1" ht="15.75">
      <c r="A409" s="31" t="s">
        <v>24</v>
      </c>
      <c r="B409" s="24" t="s">
        <v>280</v>
      </c>
      <c r="C409" s="88" t="s">
        <v>313</v>
      </c>
      <c r="D409" s="88">
        <v>800</v>
      </c>
      <c r="E409" s="56">
        <f>E410</f>
        <v>0</v>
      </c>
      <c r="F409" s="58">
        <f>F410</f>
        <v>5000000</v>
      </c>
      <c r="G409" s="57">
        <f t="shared" si="15"/>
        <v>5000000</v>
      </c>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row>
    <row r="410" spans="1:34" s="3" customFormat="1" ht="47.25">
      <c r="A410" s="31" t="s">
        <v>181</v>
      </c>
      <c r="B410" s="24" t="s">
        <v>280</v>
      </c>
      <c r="C410" s="88" t="s">
        <v>313</v>
      </c>
      <c r="D410" s="88">
        <v>810</v>
      </c>
      <c r="E410" s="56">
        <v>0</v>
      </c>
      <c r="F410" s="58">
        <v>5000000</v>
      </c>
      <c r="G410" s="57">
        <f t="shared" si="15"/>
        <v>5000000</v>
      </c>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row>
    <row r="411" spans="1:34" s="3" customFormat="1" ht="15.75">
      <c r="A411" s="20" t="s">
        <v>314</v>
      </c>
      <c r="B411" s="21" t="s">
        <v>315</v>
      </c>
      <c r="C411" s="59"/>
      <c r="D411" s="59"/>
      <c r="E411" s="47">
        <f>SUM(E412,E446,E462)</f>
        <v>191391969.23</v>
      </c>
      <c r="F411" s="47">
        <f>SUM(F412,F446,F462)</f>
        <v>52899794.690000005</v>
      </c>
      <c r="G411" s="22">
        <f t="shared" si="15"/>
        <v>244291763.92</v>
      </c>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row>
    <row r="412" spans="1:34" s="3" customFormat="1" ht="31.5">
      <c r="A412" s="31" t="s">
        <v>80</v>
      </c>
      <c r="B412" s="24" t="s">
        <v>315</v>
      </c>
      <c r="C412" s="26" t="s">
        <v>81</v>
      </c>
      <c r="D412" s="26"/>
      <c r="E412" s="27">
        <f>SUM(E413,E426,E433,E442)</f>
        <v>157518198.28</v>
      </c>
      <c r="F412" s="27">
        <f>SUM(F413,F426,F433,F442)</f>
        <v>44868040</v>
      </c>
      <c r="G412" s="25">
        <f t="shared" si="15"/>
        <v>202386238.28</v>
      </c>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row>
    <row r="413" spans="1:34" s="3" customFormat="1" ht="31.5">
      <c r="A413" s="31" t="s">
        <v>316</v>
      </c>
      <c r="B413" s="24" t="s">
        <v>315</v>
      </c>
      <c r="C413" s="26" t="s">
        <v>317</v>
      </c>
      <c r="D413" s="26"/>
      <c r="E413" s="27">
        <f>SUM(E414,E417,E420,E423)</f>
        <v>77518198.28</v>
      </c>
      <c r="F413" s="27">
        <f>SUM(F414,F417,F420,F423)</f>
        <v>0</v>
      </c>
      <c r="G413" s="25">
        <f t="shared" si="15"/>
        <v>77518198.28</v>
      </c>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row>
    <row r="414" spans="1:34" s="3" customFormat="1" ht="31.5">
      <c r="A414" s="31" t="s">
        <v>318</v>
      </c>
      <c r="B414" s="24" t="s">
        <v>315</v>
      </c>
      <c r="C414" s="26" t="s">
        <v>319</v>
      </c>
      <c r="D414" s="26"/>
      <c r="E414" s="27">
        <f>SUM(E415)</f>
        <v>34744198.28</v>
      </c>
      <c r="F414" s="27">
        <f>SUM(F415)</f>
        <v>0</v>
      </c>
      <c r="G414" s="25">
        <f t="shared" si="15"/>
        <v>34744198.28</v>
      </c>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row>
    <row r="415" spans="1:34" s="3" customFormat="1" ht="15.75">
      <c r="A415" s="28" t="s">
        <v>24</v>
      </c>
      <c r="B415" s="24" t="s">
        <v>315</v>
      </c>
      <c r="C415" s="26" t="s">
        <v>319</v>
      </c>
      <c r="D415" s="26">
        <v>800</v>
      </c>
      <c r="E415" s="27">
        <f>E416</f>
        <v>34744198.28</v>
      </c>
      <c r="F415" s="27">
        <f>F416</f>
        <v>0</v>
      </c>
      <c r="G415" s="25">
        <f t="shared" si="15"/>
        <v>34744198.28</v>
      </c>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row>
    <row r="416" spans="1:34" s="16" customFormat="1" ht="47.25">
      <c r="A416" s="31" t="s">
        <v>181</v>
      </c>
      <c r="B416" s="24" t="s">
        <v>315</v>
      </c>
      <c r="C416" s="26" t="s">
        <v>319</v>
      </c>
      <c r="D416" s="26">
        <v>810</v>
      </c>
      <c r="E416" s="27">
        <f>35000000-255801.72</f>
        <v>34744198.28</v>
      </c>
      <c r="F416" s="27">
        <v>0</v>
      </c>
      <c r="G416" s="25">
        <f t="shared" si="15"/>
        <v>34744198.28</v>
      </c>
      <c r="H416" s="3"/>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row>
    <row r="417" spans="1:34" s="44" customFormat="1" ht="63">
      <c r="A417" s="48" t="s">
        <v>320</v>
      </c>
      <c r="B417" s="33" t="s">
        <v>315</v>
      </c>
      <c r="C417" s="36" t="s">
        <v>321</v>
      </c>
      <c r="D417" s="36"/>
      <c r="E417" s="37">
        <f>E418</f>
        <v>3774000</v>
      </c>
      <c r="F417" s="37">
        <f>F418</f>
        <v>0</v>
      </c>
      <c r="G417" s="25">
        <f t="shared" si="15"/>
        <v>3774000</v>
      </c>
      <c r="H417" s="38"/>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row>
    <row r="418" spans="1:34" s="44" customFormat="1" ht="31.5">
      <c r="A418" s="35" t="s">
        <v>20</v>
      </c>
      <c r="B418" s="33" t="s">
        <v>315</v>
      </c>
      <c r="C418" s="36" t="s">
        <v>321</v>
      </c>
      <c r="D418" s="36">
        <v>200</v>
      </c>
      <c r="E418" s="37">
        <f>E419</f>
        <v>3774000</v>
      </c>
      <c r="F418" s="37">
        <f>F419</f>
        <v>0</v>
      </c>
      <c r="G418" s="25">
        <f t="shared" si="15"/>
        <v>3774000</v>
      </c>
      <c r="H418" s="38"/>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row>
    <row r="419" spans="1:34" s="44" customFormat="1" ht="31.5">
      <c r="A419" s="35" t="s">
        <v>22</v>
      </c>
      <c r="B419" s="33" t="s">
        <v>315</v>
      </c>
      <c r="C419" s="36" t="s">
        <v>321</v>
      </c>
      <c r="D419" s="36">
        <v>240</v>
      </c>
      <c r="E419" s="37">
        <f>3518198.28+255801.72</f>
        <v>3774000</v>
      </c>
      <c r="F419" s="37">
        <v>0</v>
      </c>
      <c r="G419" s="25">
        <f t="shared" si="15"/>
        <v>3774000</v>
      </c>
      <c r="H419" s="38"/>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row>
    <row r="420" spans="1:34" s="16" customFormat="1" ht="47.25">
      <c r="A420" s="31" t="s">
        <v>322</v>
      </c>
      <c r="B420" s="24" t="s">
        <v>315</v>
      </c>
      <c r="C420" s="26" t="s">
        <v>323</v>
      </c>
      <c r="D420" s="26"/>
      <c r="E420" s="27">
        <f>E421</f>
        <v>30000000</v>
      </c>
      <c r="F420" s="27">
        <f>F421</f>
        <v>0</v>
      </c>
      <c r="G420" s="25">
        <f t="shared" si="15"/>
        <v>30000000</v>
      </c>
      <c r="H420" s="3"/>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row>
    <row r="421" spans="1:34" s="3" customFormat="1" ht="15.75">
      <c r="A421" s="28" t="s">
        <v>24</v>
      </c>
      <c r="B421" s="24" t="s">
        <v>315</v>
      </c>
      <c r="C421" s="26" t="s">
        <v>323</v>
      </c>
      <c r="D421" s="26">
        <v>800</v>
      </c>
      <c r="E421" s="27">
        <f>E422</f>
        <v>30000000</v>
      </c>
      <c r="F421" s="27">
        <f>F422</f>
        <v>0</v>
      </c>
      <c r="G421" s="25">
        <f t="shared" si="15"/>
        <v>30000000</v>
      </c>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row>
    <row r="422" spans="1:34" s="3" customFormat="1" ht="47.25">
      <c r="A422" s="31" t="s">
        <v>181</v>
      </c>
      <c r="B422" s="24" t="s">
        <v>315</v>
      </c>
      <c r="C422" s="26" t="s">
        <v>323</v>
      </c>
      <c r="D422" s="26">
        <v>810</v>
      </c>
      <c r="E422" s="27">
        <v>30000000</v>
      </c>
      <c r="F422" s="27">
        <v>0</v>
      </c>
      <c r="G422" s="25">
        <f t="shared" si="15"/>
        <v>30000000</v>
      </c>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row>
    <row r="423" spans="1:34" s="3" customFormat="1" ht="31.5">
      <c r="A423" s="61" t="s">
        <v>324</v>
      </c>
      <c r="B423" s="24" t="s">
        <v>315</v>
      </c>
      <c r="C423" s="26" t="s">
        <v>325</v>
      </c>
      <c r="D423" s="26"/>
      <c r="E423" s="27">
        <f>E424</f>
        <v>9000000</v>
      </c>
      <c r="F423" s="27">
        <f>F424</f>
        <v>0</v>
      </c>
      <c r="G423" s="25">
        <f t="shared" si="15"/>
        <v>9000000</v>
      </c>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row>
    <row r="424" spans="1:34" s="3" customFormat="1" ht="15.75">
      <c r="A424" s="28" t="s">
        <v>24</v>
      </c>
      <c r="B424" s="24" t="s">
        <v>315</v>
      </c>
      <c r="C424" s="26" t="s">
        <v>325</v>
      </c>
      <c r="D424" s="26">
        <v>800</v>
      </c>
      <c r="E424" s="27">
        <f>E425</f>
        <v>9000000</v>
      </c>
      <c r="F424" s="27">
        <f>F425</f>
        <v>0</v>
      </c>
      <c r="G424" s="25">
        <f t="shared" si="15"/>
        <v>9000000</v>
      </c>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row>
    <row r="425" spans="1:34" s="3" customFormat="1" ht="47.25">
      <c r="A425" s="31" t="s">
        <v>181</v>
      </c>
      <c r="B425" s="24" t="s">
        <v>315</v>
      </c>
      <c r="C425" s="26" t="s">
        <v>325</v>
      </c>
      <c r="D425" s="26">
        <v>810</v>
      </c>
      <c r="E425" s="27">
        <v>9000000</v>
      </c>
      <c r="F425" s="27">
        <v>0</v>
      </c>
      <c r="G425" s="25">
        <f t="shared" si="15"/>
        <v>9000000</v>
      </c>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row>
    <row r="426" spans="1:34" s="16" customFormat="1" ht="31.5">
      <c r="A426" s="31" t="s">
        <v>326</v>
      </c>
      <c r="B426" s="24" t="s">
        <v>315</v>
      </c>
      <c r="C426" s="26" t="s">
        <v>327</v>
      </c>
      <c r="D426" s="26"/>
      <c r="E426" s="27">
        <f>SUM(E427,E430)</f>
        <v>49000000</v>
      </c>
      <c r="F426" s="27">
        <f>SUM(F427,F430)</f>
        <v>0</v>
      </c>
      <c r="G426" s="25">
        <f t="shared" si="15"/>
        <v>49000000</v>
      </c>
      <c r="H426" s="3"/>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row>
    <row r="427" spans="1:34" s="3" customFormat="1" ht="31.5">
      <c r="A427" s="31" t="s">
        <v>328</v>
      </c>
      <c r="B427" s="24" t="s">
        <v>315</v>
      </c>
      <c r="C427" s="26" t="s">
        <v>329</v>
      </c>
      <c r="D427" s="26"/>
      <c r="E427" s="27">
        <f>E428</f>
        <v>45000000</v>
      </c>
      <c r="F427" s="27">
        <f>F428</f>
        <v>0</v>
      </c>
      <c r="G427" s="25">
        <f t="shared" si="15"/>
        <v>45000000</v>
      </c>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row>
    <row r="428" spans="1:34" s="3" customFormat="1" ht="15.75">
      <c r="A428" s="28" t="s">
        <v>24</v>
      </c>
      <c r="B428" s="24" t="s">
        <v>315</v>
      </c>
      <c r="C428" s="26" t="s">
        <v>329</v>
      </c>
      <c r="D428" s="26">
        <v>800</v>
      </c>
      <c r="E428" s="27">
        <f>E429</f>
        <v>45000000</v>
      </c>
      <c r="F428" s="27">
        <f>F429</f>
        <v>0</v>
      </c>
      <c r="G428" s="25">
        <f t="shared" si="15"/>
        <v>45000000</v>
      </c>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row>
    <row r="429" spans="1:34" s="16" customFormat="1" ht="47.25">
      <c r="A429" s="31" t="s">
        <v>181</v>
      </c>
      <c r="B429" s="24" t="s">
        <v>315</v>
      </c>
      <c r="C429" s="26" t="s">
        <v>329</v>
      </c>
      <c r="D429" s="26">
        <v>810</v>
      </c>
      <c r="E429" s="27">
        <v>45000000</v>
      </c>
      <c r="F429" s="27">
        <v>0</v>
      </c>
      <c r="G429" s="25">
        <f t="shared" si="15"/>
        <v>45000000</v>
      </c>
      <c r="H429" s="3"/>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row>
    <row r="430" spans="1:34" s="3" customFormat="1" ht="31.5">
      <c r="A430" s="31" t="s">
        <v>330</v>
      </c>
      <c r="B430" s="24" t="s">
        <v>315</v>
      </c>
      <c r="C430" s="26" t="s">
        <v>331</v>
      </c>
      <c r="D430" s="26"/>
      <c r="E430" s="27">
        <f>E431</f>
        <v>4000000</v>
      </c>
      <c r="F430" s="27">
        <f>F431</f>
        <v>0</v>
      </c>
      <c r="G430" s="25">
        <f t="shared" si="15"/>
        <v>4000000</v>
      </c>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row>
    <row r="431" spans="1:34" s="16" customFormat="1" ht="31.5">
      <c r="A431" s="31" t="s">
        <v>208</v>
      </c>
      <c r="B431" s="24" t="s">
        <v>315</v>
      </c>
      <c r="C431" s="26" t="s">
        <v>331</v>
      </c>
      <c r="D431" s="26">
        <v>400</v>
      </c>
      <c r="E431" s="27">
        <f>E432</f>
        <v>4000000</v>
      </c>
      <c r="F431" s="27">
        <f>F432</f>
        <v>0</v>
      </c>
      <c r="G431" s="25">
        <f t="shared" si="15"/>
        <v>4000000</v>
      </c>
      <c r="H431" s="3"/>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row>
    <row r="432" spans="1:34" s="3" customFormat="1" ht="110.25">
      <c r="A432" s="31" t="s">
        <v>287</v>
      </c>
      <c r="B432" s="24" t="s">
        <v>315</v>
      </c>
      <c r="C432" s="26" t="s">
        <v>331</v>
      </c>
      <c r="D432" s="26">
        <v>460</v>
      </c>
      <c r="E432" s="27">
        <v>4000000</v>
      </c>
      <c r="F432" s="27">
        <v>0</v>
      </c>
      <c r="G432" s="25">
        <f t="shared" si="15"/>
        <v>4000000</v>
      </c>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row>
    <row r="433" spans="1:34" s="3" customFormat="1" ht="31.5">
      <c r="A433" s="61" t="s">
        <v>332</v>
      </c>
      <c r="B433" s="24" t="s">
        <v>315</v>
      </c>
      <c r="C433" s="26" t="s">
        <v>333</v>
      </c>
      <c r="D433" s="26"/>
      <c r="E433" s="27">
        <f>E434+E439</f>
        <v>28500000</v>
      </c>
      <c r="F433" s="27">
        <f>F434+F439</f>
        <v>44868040</v>
      </c>
      <c r="G433" s="25">
        <f t="shared" si="15"/>
        <v>73368040</v>
      </c>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row>
    <row r="434" spans="1:34" s="3" customFormat="1" ht="31.5">
      <c r="A434" s="61" t="s">
        <v>334</v>
      </c>
      <c r="B434" s="24" t="s">
        <v>315</v>
      </c>
      <c r="C434" s="26" t="s">
        <v>335</v>
      </c>
      <c r="D434" s="26"/>
      <c r="E434" s="27">
        <f>E437+E435</f>
        <v>27000000</v>
      </c>
      <c r="F434" s="27">
        <f>F437+F435</f>
        <v>44868040</v>
      </c>
      <c r="G434" s="25">
        <f t="shared" si="15"/>
        <v>71868040</v>
      </c>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row>
    <row r="435" spans="1:34" s="3" customFormat="1" ht="31.5">
      <c r="A435" s="28" t="s">
        <v>20</v>
      </c>
      <c r="B435" s="24" t="s">
        <v>315</v>
      </c>
      <c r="C435" s="26" t="s">
        <v>335</v>
      </c>
      <c r="D435" s="26">
        <v>200</v>
      </c>
      <c r="E435" s="27">
        <f>E436</f>
        <v>0</v>
      </c>
      <c r="F435" s="27">
        <f>F436</f>
        <v>44368040</v>
      </c>
      <c r="G435" s="25">
        <f t="shared" si="15"/>
        <v>44368040</v>
      </c>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row>
    <row r="436" spans="1:34" s="3" customFormat="1" ht="31.5">
      <c r="A436" s="28" t="s">
        <v>22</v>
      </c>
      <c r="B436" s="24" t="s">
        <v>315</v>
      </c>
      <c r="C436" s="26" t="s">
        <v>335</v>
      </c>
      <c r="D436" s="26">
        <v>240</v>
      </c>
      <c r="E436" s="27">
        <v>0</v>
      </c>
      <c r="F436" s="27">
        <v>44368040</v>
      </c>
      <c r="G436" s="25">
        <f t="shared" si="15"/>
        <v>44368040</v>
      </c>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row>
    <row r="437" spans="1:34" s="65" customFormat="1" ht="31.5">
      <c r="A437" s="31" t="s">
        <v>93</v>
      </c>
      <c r="B437" s="24" t="s">
        <v>315</v>
      </c>
      <c r="C437" s="26" t="s">
        <v>335</v>
      </c>
      <c r="D437" s="26">
        <v>600</v>
      </c>
      <c r="E437" s="27">
        <f>E438</f>
        <v>27000000</v>
      </c>
      <c r="F437" s="27">
        <f>F438</f>
        <v>500000</v>
      </c>
      <c r="G437" s="25">
        <f t="shared" si="15"/>
        <v>27500000</v>
      </c>
      <c r="H437" s="63"/>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row>
    <row r="438" spans="1:34" s="3" customFormat="1" ht="15.75">
      <c r="A438" s="31" t="s">
        <v>336</v>
      </c>
      <c r="B438" s="24" t="s">
        <v>315</v>
      </c>
      <c r="C438" s="26" t="s">
        <v>335</v>
      </c>
      <c r="D438" s="26">
        <v>620</v>
      </c>
      <c r="E438" s="27">
        <f>27500000-500000</f>
        <v>27000000</v>
      </c>
      <c r="F438" s="27">
        <v>500000</v>
      </c>
      <c r="G438" s="25">
        <f t="shared" si="15"/>
        <v>27500000</v>
      </c>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row>
    <row r="439" spans="1:34" s="3" customFormat="1" ht="31.5">
      <c r="A439" s="61" t="s">
        <v>337</v>
      </c>
      <c r="B439" s="24" t="s">
        <v>315</v>
      </c>
      <c r="C439" s="26" t="s">
        <v>338</v>
      </c>
      <c r="D439" s="26"/>
      <c r="E439" s="27">
        <f>E440</f>
        <v>1500000</v>
      </c>
      <c r="F439" s="27">
        <f>F440</f>
        <v>0</v>
      </c>
      <c r="G439" s="25">
        <f t="shared" si="15"/>
        <v>1500000</v>
      </c>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row>
    <row r="440" spans="1:34" s="3" customFormat="1" ht="31.5">
      <c r="A440" s="31" t="s">
        <v>93</v>
      </c>
      <c r="B440" s="24" t="s">
        <v>315</v>
      </c>
      <c r="C440" s="26" t="s">
        <v>338</v>
      </c>
      <c r="D440" s="26">
        <v>600</v>
      </c>
      <c r="E440" s="27">
        <f>E441</f>
        <v>1500000</v>
      </c>
      <c r="F440" s="27">
        <f>F441</f>
        <v>0</v>
      </c>
      <c r="G440" s="25">
        <f t="shared" si="15"/>
        <v>1500000</v>
      </c>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row>
    <row r="441" spans="1:34" s="3" customFormat="1" ht="15.75">
      <c r="A441" s="31" t="s">
        <v>336</v>
      </c>
      <c r="B441" s="24" t="s">
        <v>315</v>
      </c>
      <c r="C441" s="26" t="s">
        <v>338</v>
      </c>
      <c r="D441" s="26">
        <v>620</v>
      </c>
      <c r="E441" s="27">
        <f>1000000+500000</f>
        <v>1500000</v>
      </c>
      <c r="F441" s="27">
        <v>0</v>
      </c>
      <c r="G441" s="25">
        <f t="shared" si="15"/>
        <v>1500000</v>
      </c>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row>
    <row r="442" spans="1:34" s="3" customFormat="1" ht="15.75">
      <c r="A442" s="61" t="s">
        <v>82</v>
      </c>
      <c r="B442" s="24" t="s">
        <v>315</v>
      </c>
      <c r="C442" s="26" t="s">
        <v>83</v>
      </c>
      <c r="D442" s="26"/>
      <c r="E442" s="27">
        <f aca="true" t="shared" si="16" ref="E442:F444">E443</f>
        <v>2500000</v>
      </c>
      <c r="F442" s="27">
        <f t="shared" si="16"/>
        <v>0</v>
      </c>
      <c r="G442" s="25">
        <f t="shared" si="15"/>
        <v>2500000</v>
      </c>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row>
    <row r="443" spans="1:34" s="16" customFormat="1" ht="31.5">
      <c r="A443" s="61" t="s">
        <v>339</v>
      </c>
      <c r="B443" s="24" t="s">
        <v>315</v>
      </c>
      <c r="C443" s="26" t="s">
        <v>340</v>
      </c>
      <c r="D443" s="26"/>
      <c r="E443" s="27">
        <f t="shared" si="16"/>
        <v>2500000</v>
      </c>
      <c r="F443" s="27">
        <f t="shared" si="16"/>
        <v>0</v>
      </c>
      <c r="G443" s="25">
        <f t="shared" si="15"/>
        <v>2500000</v>
      </c>
      <c r="H443" s="3"/>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row>
    <row r="444" spans="1:34" s="3" customFormat="1" ht="31.5">
      <c r="A444" s="28" t="s">
        <v>20</v>
      </c>
      <c r="B444" s="24" t="s">
        <v>315</v>
      </c>
      <c r="C444" s="26" t="s">
        <v>340</v>
      </c>
      <c r="D444" s="26">
        <v>200</v>
      </c>
      <c r="E444" s="27">
        <f t="shared" si="16"/>
        <v>2500000</v>
      </c>
      <c r="F444" s="27">
        <f t="shared" si="16"/>
        <v>0</v>
      </c>
      <c r="G444" s="25">
        <f t="shared" si="15"/>
        <v>2500000</v>
      </c>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row>
    <row r="445" spans="1:34" s="3" customFormat="1" ht="31.5">
      <c r="A445" s="28" t="s">
        <v>22</v>
      </c>
      <c r="B445" s="24" t="s">
        <v>315</v>
      </c>
      <c r="C445" s="26" t="s">
        <v>340</v>
      </c>
      <c r="D445" s="26">
        <v>240</v>
      </c>
      <c r="E445" s="49">
        <v>2500000</v>
      </c>
      <c r="F445" s="49">
        <v>0</v>
      </c>
      <c r="G445" s="25">
        <f t="shared" si="15"/>
        <v>2500000</v>
      </c>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row>
    <row r="446" spans="1:34" s="3" customFormat="1" ht="31.5">
      <c r="A446" s="28" t="s">
        <v>341</v>
      </c>
      <c r="B446" s="24" t="s">
        <v>315</v>
      </c>
      <c r="C446" s="26" t="s">
        <v>342</v>
      </c>
      <c r="D446" s="26"/>
      <c r="E446" s="49">
        <f>SUM(E453,E456,E459,E450,E447)</f>
        <v>33190483.45</v>
      </c>
      <c r="F446" s="49">
        <f>SUM(F453,F456,F459,F450,F447)</f>
        <v>2984835.4000000022</v>
      </c>
      <c r="G446" s="25">
        <f t="shared" si="15"/>
        <v>36175318.85</v>
      </c>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row>
    <row r="447" spans="1:34" s="3" customFormat="1" ht="65.25" customHeight="1">
      <c r="A447" s="28" t="s">
        <v>343</v>
      </c>
      <c r="B447" s="33" t="s">
        <v>315</v>
      </c>
      <c r="C447" s="26" t="s">
        <v>344</v>
      </c>
      <c r="D447" s="26"/>
      <c r="E447" s="49">
        <f>E448</f>
        <v>0</v>
      </c>
      <c r="F447" s="49">
        <f>F448</f>
        <v>2123173.69</v>
      </c>
      <c r="G447" s="25">
        <f t="shared" si="15"/>
        <v>2123173.69</v>
      </c>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row>
    <row r="448" spans="1:34" s="3" customFormat="1" ht="31.5">
      <c r="A448" s="28" t="s">
        <v>20</v>
      </c>
      <c r="B448" s="33" t="s">
        <v>315</v>
      </c>
      <c r="C448" s="26" t="s">
        <v>344</v>
      </c>
      <c r="D448" s="26">
        <v>200</v>
      </c>
      <c r="E448" s="49">
        <f>E449</f>
        <v>0</v>
      </c>
      <c r="F448" s="49">
        <f>F449</f>
        <v>2123173.69</v>
      </c>
      <c r="G448" s="25">
        <f t="shared" si="15"/>
        <v>2123173.69</v>
      </c>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row>
    <row r="449" spans="1:34" s="3" customFormat="1" ht="31.5">
      <c r="A449" s="28" t="s">
        <v>22</v>
      </c>
      <c r="B449" s="33" t="s">
        <v>315</v>
      </c>
      <c r="C449" s="26" t="s">
        <v>344</v>
      </c>
      <c r="D449" s="26">
        <v>240</v>
      </c>
      <c r="E449" s="49">
        <v>0</v>
      </c>
      <c r="F449" s="49">
        <f>3138545.81-964366.17-51005.95</f>
        <v>2123173.69</v>
      </c>
      <c r="G449" s="25">
        <f t="shared" si="15"/>
        <v>2123173.69</v>
      </c>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row>
    <row r="450" spans="1:34" s="3" customFormat="1" ht="65.25" customHeight="1">
      <c r="A450" s="28" t="s">
        <v>345</v>
      </c>
      <c r="B450" s="33" t="s">
        <v>315</v>
      </c>
      <c r="C450" s="26" t="s">
        <v>346</v>
      </c>
      <c r="D450" s="26"/>
      <c r="E450" s="49">
        <f>E451</f>
        <v>0</v>
      </c>
      <c r="F450" s="49">
        <f>F451</f>
        <v>964366.1700000002</v>
      </c>
      <c r="G450" s="25">
        <f t="shared" si="15"/>
        <v>964366.1700000002</v>
      </c>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row>
    <row r="451" spans="1:34" s="3" customFormat="1" ht="31.5">
      <c r="A451" s="35" t="s">
        <v>20</v>
      </c>
      <c r="B451" s="33" t="s">
        <v>315</v>
      </c>
      <c r="C451" s="26" t="s">
        <v>346</v>
      </c>
      <c r="D451" s="36">
        <v>200</v>
      </c>
      <c r="E451" s="49">
        <f>E452</f>
        <v>0</v>
      </c>
      <c r="F451" s="49">
        <f>F452</f>
        <v>964366.1700000002</v>
      </c>
      <c r="G451" s="25">
        <f t="shared" si="15"/>
        <v>964366.1700000002</v>
      </c>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row>
    <row r="452" spans="1:34" s="3" customFormat="1" ht="31.5">
      <c r="A452" s="35" t="s">
        <v>22</v>
      </c>
      <c r="B452" s="33" t="s">
        <v>315</v>
      </c>
      <c r="C452" s="26" t="s">
        <v>346</v>
      </c>
      <c r="D452" s="36">
        <v>240</v>
      </c>
      <c r="E452" s="49">
        <v>0</v>
      </c>
      <c r="F452" s="49">
        <f>102704.46+964366.17-102704.46</f>
        <v>964366.1700000002</v>
      </c>
      <c r="G452" s="25">
        <f t="shared" si="15"/>
        <v>964366.1700000002</v>
      </c>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row>
    <row r="453" spans="1:34" s="38" customFormat="1" ht="96" customHeight="1">
      <c r="A453" s="82" t="s">
        <v>347</v>
      </c>
      <c r="B453" s="33" t="s">
        <v>315</v>
      </c>
      <c r="C453" s="36" t="s">
        <v>348</v>
      </c>
      <c r="D453" s="36"/>
      <c r="E453" s="40">
        <f>E454</f>
        <v>22301732.04</v>
      </c>
      <c r="F453" s="40">
        <f>F454</f>
        <v>5258043.34</v>
      </c>
      <c r="G453" s="25">
        <f t="shared" si="15"/>
        <v>27559775.38</v>
      </c>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row>
    <row r="454" spans="1:34" s="38" customFormat="1" ht="31.5">
      <c r="A454" s="35" t="s">
        <v>20</v>
      </c>
      <c r="B454" s="33" t="s">
        <v>315</v>
      </c>
      <c r="C454" s="36" t="s">
        <v>348</v>
      </c>
      <c r="D454" s="36">
        <v>200</v>
      </c>
      <c r="E454" s="40">
        <f>E455</f>
        <v>22301732.04</v>
      </c>
      <c r="F454" s="40">
        <f>F455</f>
        <v>5258043.34</v>
      </c>
      <c r="G454" s="25">
        <f t="shared" si="15"/>
        <v>27559775.38</v>
      </c>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row>
    <row r="455" spans="1:34" s="38" customFormat="1" ht="31.5">
      <c r="A455" s="35" t="s">
        <v>22</v>
      </c>
      <c r="B455" s="33" t="s">
        <v>315</v>
      </c>
      <c r="C455" s="36" t="s">
        <v>348</v>
      </c>
      <c r="D455" s="36">
        <v>240</v>
      </c>
      <c r="E455" s="40">
        <f>21610205.47+691526.57</f>
        <v>22301732.04</v>
      </c>
      <c r="F455" s="40">
        <f>189280.87-69596.08-1425685.23+1425685.23+4994484.51+143874.04</f>
        <v>5258043.34</v>
      </c>
      <c r="G455" s="25">
        <f aca="true" t="shared" si="17" ref="G455:G518">SUM(E455:F455)</f>
        <v>27559775.38</v>
      </c>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row>
    <row r="456" spans="1:34" s="38" customFormat="1" ht="117.75" customHeight="1">
      <c r="A456" s="35" t="s">
        <v>349</v>
      </c>
      <c r="B456" s="33" t="s">
        <v>315</v>
      </c>
      <c r="C456" s="36" t="s">
        <v>350</v>
      </c>
      <c r="D456" s="36"/>
      <c r="E456" s="40">
        <f>E457</f>
        <v>10888751.41</v>
      </c>
      <c r="F456" s="40">
        <f>F457</f>
        <v>-10888751.409999996</v>
      </c>
      <c r="G456" s="25">
        <f t="shared" si="17"/>
        <v>0</v>
      </c>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row>
    <row r="457" spans="1:34" s="38" customFormat="1" ht="31.5">
      <c r="A457" s="35" t="s">
        <v>20</v>
      </c>
      <c r="B457" s="33" t="s">
        <v>315</v>
      </c>
      <c r="C457" s="36" t="s">
        <v>350</v>
      </c>
      <c r="D457" s="36">
        <v>200</v>
      </c>
      <c r="E457" s="40">
        <f>E458</f>
        <v>10888751.41</v>
      </c>
      <c r="F457" s="40">
        <f>F458</f>
        <v>-10888751.409999996</v>
      </c>
      <c r="G457" s="25">
        <f t="shared" si="17"/>
        <v>0</v>
      </c>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row>
    <row r="458" spans="1:34" s="38" customFormat="1" ht="31.5">
      <c r="A458" s="35" t="s">
        <v>22</v>
      </c>
      <c r="B458" s="33" t="s">
        <v>315</v>
      </c>
      <c r="C458" s="36" t="s">
        <v>350</v>
      </c>
      <c r="D458" s="36">
        <v>240</v>
      </c>
      <c r="E458" s="40">
        <f>10551115.71+337635.7</f>
        <v>10888751.41</v>
      </c>
      <c r="F458" s="40">
        <f>-189280.87+69596.08-10769066.62+3203868.16+970124.22-4057120.59-116871.79</f>
        <v>-10888751.409999996</v>
      </c>
      <c r="G458" s="25">
        <f t="shared" si="17"/>
        <v>0</v>
      </c>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row>
    <row r="459" spans="1:34" s="38" customFormat="1" ht="116.25" customHeight="1">
      <c r="A459" s="82" t="s">
        <v>351</v>
      </c>
      <c r="B459" s="33" t="s">
        <v>315</v>
      </c>
      <c r="C459" s="36" t="s">
        <v>352</v>
      </c>
      <c r="D459" s="36"/>
      <c r="E459" s="40">
        <f>E460</f>
        <v>0</v>
      </c>
      <c r="F459" s="40">
        <f>F460</f>
        <v>5528003.6099999985</v>
      </c>
      <c r="G459" s="25">
        <f t="shared" si="17"/>
        <v>5528003.6099999985</v>
      </c>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row>
    <row r="460" spans="1:34" s="38" customFormat="1" ht="31.5">
      <c r="A460" s="35" t="s">
        <v>20</v>
      </c>
      <c r="B460" s="33" t="s">
        <v>315</v>
      </c>
      <c r="C460" s="36" t="s">
        <v>352</v>
      </c>
      <c r="D460" s="36">
        <v>200</v>
      </c>
      <c r="E460" s="40">
        <f>E461</f>
        <v>0</v>
      </c>
      <c r="F460" s="40">
        <f>F461</f>
        <v>5528003.6099999985</v>
      </c>
      <c r="G460" s="25">
        <f t="shared" si="17"/>
        <v>5528003.6099999985</v>
      </c>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row>
    <row r="461" spans="1:34" s="38" customFormat="1" ht="31.5">
      <c r="A461" s="35" t="s">
        <v>22</v>
      </c>
      <c r="B461" s="33" t="s">
        <v>315</v>
      </c>
      <c r="C461" s="36" t="s">
        <v>352</v>
      </c>
      <c r="D461" s="36">
        <v>240</v>
      </c>
      <c r="E461" s="40">
        <v>0</v>
      </c>
      <c r="F461" s="40">
        <f>10769066.62-102704.46-3203868.16-970124.22-937363.92-27002.25</f>
        <v>5528003.6099999985</v>
      </c>
      <c r="G461" s="25">
        <f t="shared" si="17"/>
        <v>5528003.6099999985</v>
      </c>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row>
    <row r="462" spans="1:34" s="3" customFormat="1" ht="15.75">
      <c r="A462" s="30" t="s">
        <v>30</v>
      </c>
      <c r="B462" s="87" t="s">
        <v>315</v>
      </c>
      <c r="C462" s="88" t="s">
        <v>31</v>
      </c>
      <c r="D462" s="88"/>
      <c r="E462" s="58">
        <f>SUM(E463,E467)</f>
        <v>683287.5</v>
      </c>
      <c r="F462" s="58">
        <f>SUM(F463,F467)</f>
        <v>5046919.29</v>
      </c>
      <c r="G462" s="57">
        <f t="shared" si="17"/>
        <v>5730206.79</v>
      </c>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row>
    <row r="463" spans="1:34" s="3" customFormat="1" ht="31.5">
      <c r="A463" s="86" t="s">
        <v>59</v>
      </c>
      <c r="B463" s="87" t="s">
        <v>315</v>
      </c>
      <c r="C463" s="88" t="s">
        <v>60</v>
      </c>
      <c r="D463" s="88"/>
      <c r="E463" s="56">
        <f aca="true" t="shared" si="18" ref="E463:F465">E464</f>
        <v>0</v>
      </c>
      <c r="F463" s="56">
        <f t="shared" si="18"/>
        <v>5000000</v>
      </c>
      <c r="G463" s="57">
        <f t="shared" si="17"/>
        <v>5000000</v>
      </c>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row>
    <row r="464" spans="1:34" s="3" customFormat="1" ht="47.25">
      <c r="A464" s="86" t="s">
        <v>353</v>
      </c>
      <c r="B464" s="87" t="s">
        <v>315</v>
      </c>
      <c r="C464" s="88" t="s">
        <v>354</v>
      </c>
      <c r="D464" s="88"/>
      <c r="E464" s="58">
        <f t="shared" si="18"/>
        <v>0</v>
      </c>
      <c r="F464" s="58">
        <f t="shared" si="18"/>
        <v>5000000</v>
      </c>
      <c r="G464" s="57">
        <f t="shared" si="17"/>
        <v>5000000</v>
      </c>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row>
    <row r="465" spans="1:34" s="3" customFormat="1" ht="15.75">
      <c r="A465" s="90" t="s">
        <v>24</v>
      </c>
      <c r="B465" s="87" t="s">
        <v>315</v>
      </c>
      <c r="C465" s="88" t="s">
        <v>354</v>
      </c>
      <c r="D465" s="88">
        <v>800</v>
      </c>
      <c r="E465" s="56">
        <f t="shared" si="18"/>
        <v>0</v>
      </c>
      <c r="F465" s="58">
        <f t="shared" si="18"/>
        <v>5000000</v>
      </c>
      <c r="G465" s="57">
        <f t="shared" si="17"/>
        <v>5000000</v>
      </c>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row>
    <row r="466" spans="1:34" s="3" customFormat="1" ht="47.25">
      <c r="A466" s="86" t="s">
        <v>181</v>
      </c>
      <c r="B466" s="87" t="s">
        <v>315</v>
      </c>
      <c r="C466" s="88" t="s">
        <v>354</v>
      </c>
      <c r="D466" s="88">
        <v>810</v>
      </c>
      <c r="E466" s="56">
        <v>0</v>
      </c>
      <c r="F466" s="58">
        <v>5000000</v>
      </c>
      <c r="G466" s="57">
        <f t="shared" si="17"/>
        <v>5000000</v>
      </c>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row>
    <row r="467" spans="1:34" s="3" customFormat="1" ht="47.25">
      <c r="A467" s="31" t="s">
        <v>46</v>
      </c>
      <c r="B467" s="24" t="s">
        <v>315</v>
      </c>
      <c r="C467" s="26" t="s">
        <v>47</v>
      </c>
      <c r="D467" s="26"/>
      <c r="E467" s="27">
        <f aca="true" t="shared" si="19" ref="E467:F469">E468</f>
        <v>683287.5</v>
      </c>
      <c r="F467" s="27">
        <f t="shared" si="19"/>
        <v>46919.29</v>
      </c>
      <c r="G467" s="25">
        <f t="shared" si="17"/>
        <v>730206.79</v>
      </c>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row>
    <row r="468" spans="1:34" s="38" customFormat="1" ht="47.25">
      <c r="A468" s="48" t="s">
        <v>355</v>
      </c>
      <c r="B468" s="33" t="s">
        <v>315</v>
      </c>
      <c r="C468" s="36" t="s">
        <v>356</v>
      </c>
      <c r="D468" s="36"/>
      <c r="E468" s="40">
        <f t="shared" si="19"/>
        <v>683287.5</v>
      </c>
      <c r="F468" s="40">
        <f t="shared" si="19"/>
        <v>46919.29</v>
      </c>
      <c r="G468" s="25">
        <f t="shared" si="17"/>
        <v>730206.79</v>
      </c>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row>
    <row r="469" spans="1:34" s="44" customFormat="1" ht="31.5">
      <c r="A469" s="35" t="s">
        <v>20</v>
      </c>
      <c r="B469" s="33" t="s">
        <v>315</v>
      </c>
      <c r="C469" s="36" t="s">
        <v>356</v>
      </c>
      <c r="D469" s="36">
        <v>200</v>
      </c>
      <c r="E469" s="40">
        <f t="shared" si="19"/>
        <v>683287.5</v>
      </c>
      <c r="F469" s="40">
        <f t="shared" si="19"/>
        <v>46919.29</v>
      </c>
      <c r="G469" s="25">
        <f t="shared" si="17"/>
        <v>730206.79</v>
      </c>
      <c r="H469" s="38"/>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row>
    <row r="470" spans="1:34" s="44" customFormat="1" ht="31.5">
      <c r="A470" s="48" t="s">
        <v>22</v>
      </c>
      <c r="B470" s="33" t="s">
        <v>315</v>
      </c>
      <c r="C470" s="36" t="s">
        <v>356</v>
      </c>
      <c r="D470" s="36">
        <v>240</v>
      </c>
      <c r="E470" s="40">
        <v>683287.5</v>
      </c>
      <c r="F470" s="40">
        <v>46919.29</v>
      </c>
      <c r="G470" s="25">
        <f t="shared" si="17"/>
        <v>730206.79</v>
      </c>
      <c r="H470" s="38"/>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row>
    <row r="471" spans="1:34" s="3" customFormat="1" ht="31.5">
      <c r="A471" s="91" t="s">
        <v>357</v>
      </c>
      <c r="B471" s="21" t="s">
        <v>358</v>
      </c>
      <c r="C471" s="46"/>
      <c r="D471" s="46"/>
      <c r="E471" s="92">
        <f>E472</f>
        <v>40348436.39</v>
      </c>
      <c r="F471" s="92">
        <f>F472</f>
        <v>2087128</v>
      </c>
      <c r="G471" s="22">
        <f t="shared" si="17"/>
        <v>42435564.39</v>
      </c>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row>
    <row r="472" spans="1:34" s="3" customFormat="1" ht="31.5">
      <c r="A472" s="31" t="s">
        <v>288</v>
      </c>
      <c r="B472" s="24" t="s">
        <v>358</v>
      </c>
      <c r="C472" s="26" t="s">
        <v>90</v>
      </c>
      <c r="D472" s="24"/>
      <c r="E472" s="27">
        <f>E476+E473</f>
        <v>40348436.39</v>
      </c>
      <c r="F472" s="27">
        <f>F476+F473</f>
        <v>2087128</v>
      </c>
      <c r="G472" s="25">
        <f t="shared" si="17"/>
        <v>42435564.39</v>
      </c>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row>
    <row r="473" spans="1:34" s="3" customFormat="1" ht="15.75">
      <c r="A473" s="31" t="s">
        <v>359</v>
      </c>
      <c r="B473" s="33" t="s">
        <v>358</v>
      </c>
      <c r="C473" s="26" t="s">
        <v>360</v>
      </c>
      <c r="D473" s="24"/>
      <c r="E473" s="27">
        <f>E474</f>
        <v>0</v>
      </c>
      <c r="F473" s="27">
        <f>F474</f>
        <v>2087128</v>
      </c>
      <c r="G473" s="25">
        <f t="shared" si="17"/>
        <v>2087128</v>
      </c>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row>
    <row r="474" spans="1:34" s="3" customFormat="1" ht="31.5">
      <c r="A474" s="48" t="s">
        <v>208</v>
      </c>
      <c r="B474" s="33" t="s">
        <v>358</v>
      </c>
      <c r="C474" s="26" t="s">
        <v>360</v>
      </c>
      <c r="D474" s="36">
        <v>400</v>
      </c>
      <c r="E474" s="27">
        <f>E475</f>
        <v>0</v>
      </c>
      <c r="F474" s="27">
        <f>F475</f>
        <v>2087128</v>
      </c>
      <c r="G474" s="25">
        <f t="shared" si="17"/>
        <v>2087128</v>
      </c>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row>
    <row r="475" spans="1:34" s="3" customFormat="1" ht="15.75">
      <c r="A475" s="74" t="s">
        <v>209</v>
      </c>
      <c r="B475" s="33" t="s">
        <v>358</v>
      </c>
      <c r="C475" s="26" t="s">
        <v>360</v>
      </c>
      <c r="D475" s="36">
        <v>410</v>
      </c>
      <c r="E475" s="27">
        <v>0</v>
      </c>
      <c r="F475" s="27">
        <v>2087128</v>
      </c>
      <c r="G475" s="25">
        <f t="shared" si="17"/>
        <v>2087128</v>
      </c>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row>
    <row r="476" spans="1:34" s="38" customFormat="1" ht="78.75">
      <c r="A476" s="48" t="s">
        <v>361</v>
      </c>
      <c r="B476" s="33" t="s">
        <v>358</v>
      </c>
      <c r="C476" s="36" t="s">
        <v>362</v>
      </c>
      <c r="D476" s="36"/>
      <c r="E476" s="37">
        <f>E477</f>
        <v>40348436.39</v>
      </c>
      <c r="F476" s="37">
        <f>F477</f>
        <v>0</v>
      </c>
      <c r="G476" s="25">
        <f t="shared" si="17"/>
        <v>40348436.39</v>
      </c>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row>
    <row r="477" spans="1:34" s="38" customFormat="1" ht="31.5">
      <c r="A477" s="48" t="s">
        <v>208</v>
      </c>
      <c r="B477" s="33" t="s">
        <v>358</v>
      </c>
      <c r="C477" s="36" t="s">
        <v>362</v>
      </c>
      <c r="D477" s="36">
        <v>400</v>
      </c>
      <c r="E477" s="37">
        <f>E478</f>
        <v>40348436.39</v>
      </c>
      <c r="F477" s="37">
        <f>F478</f>
        <v>0</v>
      </c>
      <c r="G477" s="25">
        <f t="shared" si="17"/>
        <v>40348436.39</v>
      </c>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row>
    <row r="478" spans="1:34" s="42" customFormat="1" ht="15.75">
      <c r="A478" s="74" t="s">
        <v>209</v>
      </c>
      <c r="B478" s="33" t="s">
        <v>358</v>
      </c>
      <c r="C478" s="36" t="s">
        <v>362</v>
      </c>
      <c r="D478" s="36">
        <v>410</v>
      </c>
      <c r="E478" s="37">
        <f>38331014.57+2017421.82</f>
        <v>40348436.39</v>
      </c>
      <c r="F478" s="37">
        <v>0</v>
      </c>
      <c r="G478" s="25">
        <f t="shared" si="17"/>
        <v>40348436.39</v>
      </c>
      <c r="H478" s="38"/>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row>
    <row r="479" spans="1:34" s="3" customFormat="1" ht="15.75">
      <c r="A479" s="17" t="s">
        <v>363</v>
      </c>
      <c r="B479" s="18" t="s">
        <v>364</v>
      </c>
      <c r="C479" s="59"/>
      <c r="D479" s="59"/>
      <c r="E479" s="66">
        <f>SUM(E480,E509,E542,E564,E582)</f>
        <v>2632842420.39</v>
      </c>
      <c r="F479" s="66">
        <f>SUM(F480,F509,F542,F564,F582)</f>
        <v>24011444.490000002</v>
      </c>
      <c r="G479" s="19">
        <f t="shared" si="17"/>
        <v>2656853864.8799996</v>
      </c>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row>
    <row r="480" spans="1:34" s="16" customFormat="1" ht="15.75">
      <c r="A480" s="20" t="s">
        <v>365</v>
      </c>
      <c r="B480" s="21" t="s">
        <v>366</v>
      </c>
      <c r="C480" s="59"/>
      <c r="D480" s="59"/>
      <c r="E480" s="47">
        <f>E481+E504</f>
        <v>1280637293.77</v>
      </c>
      <c r="F480" s="47">
        <f>F481+F504</f>
        <v>8112416.490000002</v>
      </c>
      <c r="G480" s="22">
        <f t="shared" si="17"/>
        <v>1288749710.26</v>
      </c>
      <c r="H480" s="3"/>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row>
    <row r="481" spans="1:34" s="3" customFormat="1" ht="31.5">
      <c r="A481" s="31" t="s">
        <v>367</v>
      </c>
      <c r="B481" s="24" t="s">
        <v>366</v>
      </c>
      <c r="C481" s="26" t="s">
        <v>368</v>
      </c>
      <c r="D481" s="26"/>
      <c r="E481" s="27">
        <f>E482</f>
        <v>1279837293.77</v>
      </c>
      <c r="F481" s="27">
        <f>F482</f>
        <v>8112416.490000002</v>
      </c>
      <c r="G481" s="25">
        <f t="shared" si="17"/>
        <v>1287949710.26</v>
      </c>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row>
    <row r="482" spans="1:7" ht="31.5">
      <c r="A482" s="61" t="s">
        <v>369</v>
      </c>
      <c r="B482" s="24" t="s">
        <v>366</v>
      </c>
      <c r="C482" s="26" t="s">
        <v>370</v>
      </c>
      <c r="D482" s="26"/>
      <c r="E482" s="27">
        <f>SUM(E483,E489,E495,E498,E501,E492)</f>
        <v>1279837293.77</v>
      </c>
      <c r="F482" s="27">
        <f>SUM(F483,F489,F495,F498,F501,F492)</f>
        <v>8112416.490000002</v>
      </c>
      <c r="G482" s="25">
        <f t="shared" si="17"/>
        <v>1287949710.26</v>
      </c>
    </row>
    <row r="483" spans="1:7" ht="31.5">
      <c r="A483" s="93" t="s">
        <v>371</v>
      </c>
      <c r="B483" s="33" t="s">
        <v>366</v>
      </c>
      <c r="C483" s="36" t="s">
        <v>372</v>
      </c>
      <c r="D483" s="36"/>
      <c r="E483" s="37">
        <f>SUM(E484,E487)</f>
        <v>376465394</v>
      </c>
      <c r="F483" s="37">
        <f>SUM(F484,F487)</f>
        <v>144364</v>
      </c>
      <c r="G483" s="25">
        <f t="shared" si="17"/>
        <v>376609758</v>
      </c>
    </row>
    <row r="484" spans="1:7" ht="31.5">
      <c r="A484" s="48" t="s">
        <v>93</v>
      </c>
      <c r="B484" s="33" t="s">
        <v>366</v>
      </c>
      <c r="C484" s="36" t="s">
        <v>372</v>
      </c>
      <c r="D484" s="36">
        <v>600</v>
      </c>
      <c r="E484" s="37">
        <f>SUM(E485:E486)</f>
        <v>373425624</v>
      </c>
      <c r="F484" s="37">
        <f>SUM(F485:F486)</f>
        <v>-3304539</v>
      </c>
      <c r="G484" s="25">
        <f t="shared" si="17"/>
        <v>370121085</v>
      </c>
    </row>
    <row r="485" spans="1:7" ht="15.75">
      <c r="A485" s="48" t="s">
        <v>94</v>
      </c>
      <c r="B485" s="33" t="s">
        <v>366</v>
      </c>
      <c r="C485" s="36" t="s">
        <v>372</v>
      </c>
      <c r="D485" s="36">
        <v>610</v>
      </c>
      <c r="E485" s="40">
        <v>372263241</v>
      </c>
      <c r="F485" s="40">
        <f>-3469298+144364</f>
        <v>-3324934</v>
      </c>
      <c r="G485" s="25">
        <f t="shared" si="17"/>
        <v>368938307</v>
      </c>
    </row>
    <row r="486" spans="1:7" ht="31.5">
      <c r="A486" s="48" t="s">
        <v>103</v>
      </c>
      <c r="B486" s="33" t="s">
        <v>366</v>
      </c>
      <c r="C486" s="36" t="s">
        <v>372</v>
      </c>
      <c r="D486" s="36">
        <v>630</v>
      </c>
      <c r="E486" s="40">
        <v>1162383</v>
      </c>
      <c r="F486" s="40">
        <v>20395</v>
      </c>
      <c r="G486" s="25">
        <f t="shared" si="17"/>
        <v>1182778</v>
      </c>
    </row>
    <row r="487" spans="1:7" ht="15.75">
      <c r="A487" s="48" t="s">
        <v>24</v>
      </c>
      <c r="B487" s="33" t="s">
        <v>366</v>
      </c>
      <c r="C487" s="36" t="s">
        <v>372</v>
      </c>
      <c r="D487" s="36">
        <v>800</v>
      </c>
      <c r="E487" s="40">
        <f>E488</f>
        <v>3039770</v>
      </c>
      <c r="F487" s="40">
        <f>F488</f>
        <v>3448903</v>
      </c>
      <c r="G487" s="25">
        <f t="shared" si="17"/>
        <v>6488673</v>
      </c>
    </row>
    <row r="488" spans="1:7" ht="47.25">
      <c r="A488" s="48" t="s">
        <v>181</v>
      </c>
      <c r="B488" s="33" t="s">
        <v>366</v>
      </c>
      <c r="C488" s="36" t="s">
        <v>372</v>
      </c>
      <c r="D488" s="36">
        <v>810</v>
      </c>
      <c r="E488" s="40">
        <v>3039770</v>
      </c>
      <c r="F488" s="40">
        <v>3448903</v>
      </c>
      <c r="G488" s="25">
        <f t="shared" si="17"/>
        <v>6488673</v>
      </c>
    </row>
    <row r="489" spans="1:7" ht="31.5">
      <c r="A489" s="93" t="s">
        <v>373</v>
      </c>
      <c r="B489" s="33" t="s">
        <v>366</v>
      </c>
      <c r="C489" s="36" t="s">
        <v>374</v>
      </c>
      <c r="D489" s="36"/>
      <c r="E489" s="37">
        <f>E490</f>
        <v>119400000</v>
      </c>
      <c r="F489" s="37">
        <f>F490</f>
        <v>14027534</v>
      </c>
      <c r="G489" s="25">
        <f t="shared" si="17"/>
        <v>133427534</v>
      </c>
    </row>
    <row r="490" spans="1:7" ht="31.5">
      <c r="A490" s="48" t="s">
        <v>93</v>
      </c>
      <c r="B490" s="33" t="s">
        <v>366</v>
      </c>
      <c r="C490" s="36" t="s">
        <v>374</v>
      </c>
      <c r="D490" s="36">
        <v>600</v>
      </c>
      <c r="E490" s="37">
        <f>E491</f>
        <v>119400000</v>
      </c>
      <c r="F490" s="37">
        <f>F491</f>
        <v>14027534</v>
      </c>
      <c r="G490" s="25">
        <f t="shared" si="17"/>
        <v>133427534</v>
      </c>
    </row>
    <row r="491" spans="1:7" ht="15.75">
      <c r="A491" s="48" t="s">
        <v>94</v>
      </c>
      <c r="B491" s="33" t="s">
        <v>366</v>
      </c>
      <c r="C491" s="36" t="s">
        <v>374</v>
      </c>
      <c r="D491" s="36">
        <v>610</v>
      </c>
      <c r="E491" s="37">
        <v>119400000</v>
      </c>
      <c r="F491" s="37">
        <v>14027534</v>
      </c>
      <c r="G491" s="25">
        <f t="shared" si="17"/>
        <v>133427534</v>
      </c>
    </row>
    <row r="492" spans="1:7" ht="78.75">
      <c r="A492" s="80" t="s">
        <v>375</v>
      </c>
      <c r="B492" s="33" t="s">
        <v>366</v>
      </c>
      <c r="C492" s="36" t="s">
        <v>376</v>
      </c>
      <c r="D492" s="36"/>
      <c r="E492" s="37">
        <f>E493</f>
        <v>134076852</v>
      </c>
      <c r="F492" s="37">
        <f>F493</f>
        <v>-14027534</v>
      </c>
      <c r="G492" s="25">
        <f t="shared" si="17"/>
        <v>120049318</v>
      </c>
    </row>
    <row r="493" spans="1:7" ht="31.5">
      <c r="A493" s="48" t="s">
        <v>93</v>
      </c>
      <c r="B493" s="33" t="s">
        <v>366</v>
      </c>
      <c r="C493" s="36" t="s">
        <v>376</v>
      </c>
      <c r="D493" s="36">
        <v>600</v>
      </c>
      <c r="E493" s="37">
        <f>E494</f>
        <v>134076852</v>
      </c>
      <c r="F493" s="37">
        <f>F494</f>
        <v>-14027534</v>
      </c>
      <c r="G493" s="25">
        <f t="shared" si="17"/>
        <v>120049318</v>
      </c>
    </row>
    <row r="494" spans="1:7" ht="15.75">
      <c r="A494" s="48" t="s">
        <v>94</v>
      </c>
      <c r="B494" s="33" t="s">
        <v>366</v>
      </c>
      <c r="C494" s="36" t="s">
        <v>376</v>
      </c>
      <c r="D494" s="36">
        <v>610</v>
      </c>
      <c r="E494" s="37">
        <f>114046852+20030000</f>
        <v>134076852</v>
      </c>
      <c r="F494" s="37">
        <v>-14027534</v>
      </c>
      <c r="G494" s="25">
        <f t="shared" si="17"/>
        <v>120049318</v>
      </c>
    </row>
    <row r="495" spans="1:7" ht="31.5">
      <c r="A495" s="61" t="s">
        <v>377</v>
      </c>
      <c r="B495" s="24" t="s">
        <v>366</v>
      </c>
      <c r="C495" s="26" t="s">
        <v>378</v>
      </c>
      <c r="D495" s="26"/>
      <c r="E495" s="27">
        <f>E496</f>
        <v>20000000</v>
      </c>
      <c r="F495" s="27">
        <f>F496</f>
        <v>0</v>
      </c>
      <c r="G495" s="25">
        <f t="shared" si="17"/>
        <v>20000000</v>
      </c>
    </row>
    <row r="496" spans="1:7" ht="31.5">
      <c r="A496" s="31" t="s">
        <v>93</v>
      </c>
      <c r="B496" s="24" t="s">
        <v>366</v>
      </c>
      <c r="C496" s="26" t="s">
        <v>378</v>
      </c>
      <c r="D496" s="26">
        <v>600</v>
      </c>
      <c r="E496" s="27">
        <f>E497</f>
        <v>20000000</v>
      </c>
      <c r="F496" s="27">
        <f>F497</f>
        <v>0</v>
      </c>
      <c r="G496" s="25">
        <f t="shared" si="17"/>
        <v>20000000</v>
      </c>
    </row>
    <row r="497" spans="1:7" ht="15.75">
      <c r="A497" s="31" t="s">
        <v>94</v>
      </c>
      <c r="B497" s="24" t="s">
        <v>366</v>
      </c>
      <c r="C497" s="26" t="s">
        <v>378</v>
      </c>
      <c r="D497" s="26">
        <v>610</v>
      </c>
      <c r="E497" s="27">
        <v>20000000</v>
      </c>
      <c r="F497" s="27">
        <v>0</v>
      </c>
      <c r="G497" s="25">
        <f t="shared" si="17"/>
        <v>20000000</v>
      </c>
    </row>
    <row r="498" spans="1:34" s="44" customFormat="1" ht="110.25">
      <c r="A498" s="48" t="s">
        <v>379</v>
      </c>
      <c r="B498" s="33" t="s">
        <v>366</v>
      </c>
      <c r="C498" s="36" t="s">
        <v>380</v>
      </c>
      <c r="D498" s="36"/>
      <c r="E498" s="37">
        <f>E499</f>
        <v>286130903.33</v>
      </c>
      <c r="F498" s="37">
        <f>F499</f>
        <v>7968052.48</v>
      </c>
      <c r="G498" s="25">
        <f t="shared" si="17"/>
        <v>294098955.81</v>
      </c>
      <c r="H498" s="38"/>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row>
    <row r="499" spans="1:34" s="44" customFormat="1" ht="31.5">
      <c r="A499" s="48" t="s">
        <v>208</v>
      </c>
      <c r="B499" s="33" t="s">
        <v>366</v>
      </c>
      <c r="C499" s="36" t="s">
        <v>380</v>
      </c>
      <c r="D499" s="36">
        <v>400</v>
      </c>
      <c r="E499" s="37">
        <f>E500</f>
        <v>286130903.33</v>
      </c>
      <c r="F499" s="37">
        <f>F500</f>
        <v>7968052.48</v>
      </c>
      <c r="G499" s="25">
        <f t="shared" si="17"/>
        <v>294098955.81</v>
      </c>
      <c r="H499" s="38"/>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row>
    <row r="500" spans="1:34" s="44" customFormat="1" ht="15.75">
      <c r="A500" s="48" t="s">
        <v>209</v>
      </c>
      <c r="B500" s="33" t="s">
        <v>366</v>
      </c>
      <c r="C500" s="36" t="s">
        <v>380</v>
      </c>
      <c r="D500" s="36">
        <v>410</v>
      </c>
      <c r="E500" s="37">
        <v>286130903.33</v>
      </c>
      <c r="F500" s="27">
        <f>7171247.23+796805.25</f>
        <v>7968052.48</v>
      </c>
      <c r="G500" s="25">
        <f t="shared" si="17"/>
        <v>294098955.81</v>
      </c>
      <c r="H500" s="38"/>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row>
    <row r="501" spans="1:34" s="44" customFormat="1" ht="126">
      <c r="A501" s="80" t="s">
        <v>381</v>
      </c>
      <c r="B501" s="33" t="s">
        <v>366</v>
      </c>
      <c r="C501" s="36" t="s">
        <v>382</v>
      </c>
      <c r="D501" s="36"/>
      <c r="E501" s="37">
        <f>E502</f>
        <v>343764144.44</v>
      </c>
      <c r="F501" s="37">
        <f>F502</f>
        <v>0.01</v>
      </c>
      <c r="G501" s="25">
        <f t="shared" si="17"/>
        <v>343764144.45</v>
      </c>
      <c r="H501" s="38"/>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row>
    <row r="502" spans="1:34" s="44" customFormat="1" ht="31.5">
      <c r="A502" s="48" t="s">
        <v>208</v>
      </c>
      <c r="B502" s="33" t="s">
        <v>366</v>
      </c>
      <c r="C502" s="36" t="s">
        <v>382</v>
      </c>
      <c r="D502" s="36">
        <v>400</v>
      </c>
      <c r="E502" s="37">
        <f>E503</f>
        <v>343764144.44</v>
      </c>
      <c r="F502" s="37">
        <f>F503</f>
        <v>0.01</v>
      </c>
      <c r="G502" s="25">
        <f t="shared" si="17"/>
        <v>343764144.45</v>
      </c>
      <c r="H502" s="38"/>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row>
    <row r="503" spans="1:34" s="44" customFormat="1" ht="15.75">
      <c r="A503" s="48" t="s">
        <v>209</v>
      </c>
      <c r="B503" s="33" t="s">
        <v>366</v>
      </c>
      <c r="C503" s="36" t="s">
        <v>382</v>
      </c>
      <c r="D503" s="36">
        <v>410</v>
      </c>
      <c r="E503" s="37">
        <f>309387730+34376414.44</f>
        <v>343764144.44</v>
      </c>
      <c r="F503" s="37">
        <v>0.01</v>
      </c>
      <c r="G503" s="25">
        <f t="shared" si="17"/>
        <v>343764144.45</v>
      </c>
      <c r="H503" s="38"/>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row>
    <row r="504" spans="1:34" s="44" customFormat="1" ht="31.5">
      <c r="A504" s="31" t="s">
        <v>95</v>
      </c>
      <c r="B504" s="24" t="s">
        <v>366</v>
      </c>
      <c r="C504" s="26" t="s">
        <v>96</v>
      </c>
      <c r="D504" s="26"/>
      <c r="E504" s="27">
        <f>SUM(E505)</f>
        <v>800000</v>
      </c>
      <c r="F504" s="27">
        <f>SUM(F505)</f>
        <v>0</v>
      </c>
      <c r="G504" s="25">
        <f t="shared" si="17"/>
        <v>800000</v>
      </c>
      <c r="H504" s="38"/>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row>
    <row r="505" spans="1:34" s="44" customFormat="1" ht="47.25">
      <c r="A505" s="61" t="s">
        <v>97</v>
      </c>
      <c r="B505" s="24" t="s">
        <v>366</v>
      </c>
      <c r="C505" s="26" t="s">
        <v>98</v>
      </c>
      <c r="D505" s="26"/>
      <c r="E505" s="27">
        <f aca="true" t="shared" si="20" ref="E505:F507">E506</f>
        <v>800000</v>
      </c>
      <c r="F505" s="27">
        <f t="shared" si="20"/>
        <v>0</v>
      </c>
      <c r="G505" s="25">
        <f t="shared" si="17"/>
        <v>800000</v>
      </c>
      <c r="H505" s="38"/>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row>
    <row r="506" spans="1:34" s="44" customFormat="1" ht="31.5">
      <c r="A506" s="61" t="s">
        <v>383</v>
      </c>
      <c r="B506" s="24" t="s">
        <v>366</v>
      </c>
      <c r="C506" s="26" t="s">
        <v>384</v>
      </c>
      <c r="D506" s="26"/>
      <c r="E506" s="27">
        <f t="shared" si="20"/>
        <v>800000</v>
      </c>
      <c r="F506" s="27">
        <f t="shared" si="20"/>
        <v>0</v>
      </c>
      <c r="G506" s="25">
        <f t="shared" si="17"/>
        <v>800000</v>
      </c>
      <c r="H506" s="38"/>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row>
    <row r="507" spans="1:34" s="44" customFormat="1" ht="31.5">
      <c r="A507" s="31" t="s">
        <v>93</v>
      </c>
      <c r="B507" s="24" t="s">
        <v>366</v>
      </c>
      <c r="C507" s="26" t="s">
        <v>384</v>
      </c>
      <c r="D507" s="26">
        <v>600</v>
      </c>
      <c r="E507" s="27">
        <f t="shared" si="20"/>
        <v>800000</v>
      </c>
      <c r="F507" s="27">
        <f t="shared" si="20"/>
        <v>0</v>
      </c>
      <c r="G507" s="25">
        <f t="shared" si="17"/>
        <v>800000</v>
      </c>
      <c r="H507" s="38"/>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row>
    <row r="508" spans="1:34" s="44" customFormat="1" ht="15.75">
      <c r="A508" s="31" t="s">
        <v>94</v>
      </c>
      <c r="B508" s="24" t="s">
        <v>366</v>
      </c>
      <c r="C508" s="26" t="s">
        <v>384</v>
      </c>
      <c r="D508" s="26">
        <v>610</v>
      </c>
      <c r="E508" s="49">
        <v>800000</v>
      </c>
      <c r="F508" s="49">
        <v>0</v>
      </c>
      <c r="G508" s="25">
        <f t="shared" si="17"/>
        <v>800000</v>
      </c>
      <c r="H508" s="38"/>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row>
    <row r="509" spans="1:34" s="44" customFormat="1" ht="15.75">
      <c r="A509" s="20" t="s">
        <v>385</v>
      </c>
      <c r="B509" s="21" t="s">
        <v>386</v>
      </c>
      <c r="C509" s="26"/>
      <c r="D509" s="26"/>
      <c r="E509" s="47">
        <f>SUM(E510)</f>
        <v>1051066682.62</v>
      </c>
      <c r="F509" s="47">
        <f>SUM(F510)</f>
        <v>15599028</v>
      </c>
      <c r="G509" s="22">
        <f t="shared" si="17"/>
        <v>1066665710.62</v>
      </c>
      <c r="H509" s="38"/>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row>
    <row r="510" spans="1:34" s="44" customFormat="1" ht="31.5">
      <c r="A510" s="31" t="s">
        <v>367</v>
      </c>
      <c r="B510" s="24" t="s">
        <v>386</v>
      </c>
      <c r="C510" s="26" t="s">
        <v>368</v>
      </c>
      <c r="D510" s="26"/>
      <c r="E510" s="27">
        <f>SUM(E511,E534)</f>
        <v>1051066682.62</v>
      </c>
      <c r="F510" s="27">
        <f>SUM(F511,F534)</f>
        <v>15599028</v>
      </c>
      <c r="G510" s="25">
        <f t="shared" si="17"/>
        <v>1066665710.62</v>
      </c>
      <c r="H510" s="38"/>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row>
    <row r="511" spans="1:34" s="44" customFormat="1" ht="31.5">
      <c r="A511" s="61" t="s">
        <v>387</v>
      </c>
      <c r="B511" s="24" t="s">
        <v>386</v>
      </c>
      <c r="C511" s="26" t="s">
        <v>388</v>
      </c>
      <c r="D511" s="26"/>
      <c r="E511" s="27">
        <f>SUM(E512,E516,E519,E522,E528,E531,E525)</f>
        <v>957382757.78</v>
      </c>
      <c r="F511" s="27">
        <f>SUM(F512,F516,F519,F522,F528,F531,F525)</f>
        <v>15599028</v>
      </c>
      <c r="G511" s="25">
        <f t="shared" si="17"/>
        <v>972981785.78</v>
      </c>
      <c r="H511" s="38"/>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row>
    <row r="512" spans="1:34" s="44" customFormat="1" ht="31.5">
      <c r="A512" s="93" t="s">
        <v>389</v>
      </c>
      <c r="B512" s="33" t="s">
        <v>386</v>
      </c>
      <c r="C512" s="36" t="s">
        <v>390</v>
      </c>
      <c r="D512" s="36"/>
      <c r="E512" s="37">
        <f>E513</f>
        <v>712847852</v>
      </c>
      <c r="F512" s="37">
        <f>F513</f>
        <v>8005916</v>
      </c>
      <c r="G512" s="25">
        <f t="shared" si="17"/>
        <v>720853768</v>
      </c>
      <c r="H512" s="38"/>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row>
    <row r="513" spans="1:34" s="44" customFormat="1" ht="31.5">
      <c r="A513" s="48" t="s">
        <v>93</v>
      </c>
      <c r="B513" s="33" t="s">
        <v>386</v>
      </c>
      <c r="C513" s="36" t="s">
        <v>390</v>
      </c>
      <c r="D513" s="36">
        <v>600</v>
      </c>
      <c r="E513" s="37">
        <f>E514+E515</f>
        <v>712847852</v>
      </c>
      <c r="F513" s="37">
        <f>F514+F515</f>
        <v>8005916</v>
      </c>
      <c r="G513" s="25">
        <f t="shared" si="17"/>
        <v>720853768</v>
      </c>
      <c r="H513" s="38"/>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row>
    <row r="514" spans="1:34" s="44" customFormat="1" ht="15.75">
      <c r="A514" s="48" t="s">
        <v>94</v>
      </c>
      <c r="B514" s="33" t="s">
        <v>386</v>
      </c>
      <c r="C514" s="36" t="s">
        <v>390</v>
      </c>
      <c r="D514" s="36">
        <v>610</v>
      </c>
      <c r="E514" s="40">
        <v>681769189</v>
      </c>
      <c r="F514" s="49">
        <f>-4580520+7642544</f>
        <v>3062024</v>
      </c>
      <c r="G514" s="25">
        <f t="shared" si="17"/>
        <v>684831213</v>
      </c>
      <c r="H514" s="38"/>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row>
    <row r="515" spans="1:34" s="44" customFormat="1" ht="31.5">
      <c r="A515" s="48" t="s">
        <v>103</v>
      </c>
      <c r="B515" s="33" t="s">
        <v>386</v>
      </c>
      <c r="C515" s="36" t="s">
        <v>390</v>
      </c>
      <c r="D515" s="36">
        <v>630</v>
      </c>
      <c r="E515" s="40">
        <v>31078663</v>
      </c>
      <c r="F515" s="49">
        <f>4580520+363372</f>
        <v>4943892</v>
      </c>
      <c r="G515" s="25">
        <f t="shared" si="17"/>
        <v>36022555</v>
      </c>
      <c r="H515" s="38"/>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row>
    <row r="516" spans="1:34" s="44" customFormat="1" ht="31.5">
      <c r="A516" s="93" t="s">
        <v>391</v>
      </c>
      <c r="B516" s="33" t="s">
        <v>386</v>
      </c>
      <c r="C516" s="36" t="s">
        <v>392</v>
      </c>
      <c r="D516" s="36"/>
      <c r="E516" s="40">
        <f>E517</f>
        <v>2174472</v>
      </c>
      <c r="F516" s="40">
        <f>F517</f>
        <v>0</v>
      </c>
      <c r="G516" s="25">
        <f t="shared" si="17"/>
        <v>2174472</v>
      </c>
      <c r="H516" s="38"/>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row>
    <row r="517" spans="1:34" s="44" customFormat="1" ht="31.5">
      <c r="A517" s="48" t="s">
        <v>93</v>
      </c>
      <c r="B517" s="33" t="s">
        <v>386</v>
      </c>
      <c r="C517" s="36" t="s">
        <v>392</v>
      </c>
      <c r="D517" s="36">
        <v>600</v>
      </c>
      <c r="E517" s="40">
        <f>E518</f>
        <v>2174472</v>
      </c>
      <c r="F517" s="40">
        <f>F518</f>
        <v>0</v>
      </c>
      <c r="G517" s="25">
        <f t="shared" si="17"/>
        <v>2174472</v>
      </c>
      <c r="H517" s="38"/>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row>
    <row r="518" spans="1:34" s="44" customFormat="1" ht="15.75">
      <c r="A518" s="48" t="s">
        <v>94</v>
      </c>
      <c r="B518" s="33" t="s">
        <v>386</v>
      </c>
      <c r="C518" s="36" t="s">
        <v>392</v>
      </c>
      <c r="D518" s="36">
        <v>610</v>
      </c>
      <c r="E518" s="40">
        <v>2174472</v>
      </c>
      <c r="F518" s="40">
        <v>0</v>
      </c>
      <c r="G518" s="25">
        <f t="shared" si="17"/>
        <v>2174472</v>
      </c>
      <c r="H518" s="38"/>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row>
    <row r="519" spans="1:34" s="44" customFormat="1" ht="31.5">
      <c r="A519" s="93" t="s">
        <v>393</v>
      </c>
      <c r="B519" s="33" t="s">
        <v>386</v>
      </c>
      <c r="C519" s="36" t="s">
        <v>394</v>
      </c>
      <c r="D519" s="36"/>
      <c r="E519" s="37">
        <f>E520</f>
        <v>170200000</v>
      </c>
      <c r="F519" s="37">
        <f>F520</f>
        <v>400000</v>
      </c>
      <c r="G519" s="25">
        <f aca="true" t="shared" si="21" ref="G519:G582">SUM(E519:F519)</f>
        <v>170600000</v>
      </c>
      <c r="H519" s="38"/>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row>
    <row r="520" spans="1:34" s="44" customFormat="1" ht="31.5">
      <c r="A520" s="48" t="s">
        <v>93</v>
      </c>
      <c r="B520" s="33" t="s">
        <v>386</v>
      </c>
      <c r="C520" s="36" t="s">
        <v>394</v>
      </c>
      <c r="D520" s="36">
        <v>600</v>
      </c>
      <c r="E520" s="37">
        <f>E521</f>
        <v>170200000</v>
      </c>
      <c r="F520" s="37">
        <f>F521</f>
        <v>400000</v>
      </c>
      <c r="G520" s="25">
        <f t="shared" si="21"/>
        <v>170600000</v>
      </c>
      <c r="H520" s="38"/>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row>
    <row r="521" spans="1:34" s="44" customFormat="1" ht="15.75">
      <c r="A521" s="48" t="s">
        <v>94</v>
      </c>
      <c r="B521" s="33" t="s">
        <v>386</v>
      </c>
      <c r="C521" s="36" t="s">
        <v>394</v>
      </c>
      <c r="D521" s="36">
        <v>610</v>
      </c>
      <c r="E521" s="37">
        <v>170200000</v>
      </c>
      <c r="F521" s="27">
        <v>400000</v>
      </c>
      <c r="G521" s="25">
        <f t="shared" si="21"/>
        <v>170600000</v>
      </c>
      <c r="H521" s="38"/>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row>
    <row r="522" spans="1:34" s="44" customFormat="1" ht="31.5">
      <c r="A522" s="93" t="s">
        <v>395</v>
      </c>
      <c r="B522" s="33" t="s">
        <v>386</v>
      </c>
      <c r="C522" s="36" t="s">
        <v>396</v>
      </c>
      <c r="D522" s="36"/>
      <c r="E522" s="37">
        <f>E523</f>
        <v>30370210.62</v>
      </c>
      <c r="F522" s="37">
        <f>F523</f>
        <v>5193112</v>
      </c>
      <c r="G522" s="25">
        <f t="shared" si="21"/>
        <v>35563322.620000005</v>
      </c>
      <c r="H522" s="38"/>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row>
    <row r="523" spans="1:34" s="44" customFormat="1" ht="31.5">
      <c r="A523" s="48" t="s">
        <v>93</v>
      </c>
      <c r="B523" s="33" t="s">
        <v>386</v>
      </c>
      <c r="C523" s="36" t="s">
        <v>396</v>
      </c>
      <c r="D523" s="36">
        <v>600</v>
      </c>
      <c r="E523" s="37">
        <f>E524</f>
        <v>30370210.62</v>
      </c>
      <c r="F523" s="37">
        <f>F524</f>
        <v>5193112</v>
      </c>
      <c r="G523" s="25">
        <f t="shared" si="21"/>
        <v>35563322.620000005</v>
      </c>
      <c r="H523" s="38"/>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row>
    <row r="524" spans="1:34" s="44" customFormat="1" ht="15.75">
      <c r="A524" s="48" t="s">
        <v>94</v>
      </c>
      <c r="B524" s="33" t="s">
        <v>386</v>
      </c>
      <c r="C524" s="36" t="s">
        <v>396</v>
      </c>
      <c r="D524" s="36">
        <v>610</v>
      </c>
      <c r="E524" s="37">
        <v>30370210.62</v>
      </c>
      <c r="F524" s="27">
        <v>5193112</v>
      </c>
      <c r="G524" s="25">
        <f t="shared" si="21"/>
        <v>35563322.620000005</v>
      </c>
      <c r="H524" s="38"/>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row>
    <row r="525" spans="1:34" s="44" customFormat="1" ht="63.75" customHeight="1">
      <c r="A525" s="48" t="s">
        <v>397</v>
      </c>
      <c r="B525" s="33" t="s">
        <v>386</v>
      </c>
      <c r="C525" s="36" t="s">
        <v>398</v>
      </c>
      <c r="D525" s="36"/>
      <c r="E525" s="37">
        <f>E526</f>
        <v>0</v>
      </c>
      <c r="F525" s="37">
        <f>F526</f>
        <v>2000000</v>
      </c>
      <c r="G525" s="25">
        <f t="shared" si="21"/>
        <v>2000000</v>
      </c>
      <c r="H525" s="38"/>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row>
    <row r="526" spans="1:34" s="44" customFormat="1" ht="31.5">
      <c r="A526" s="48" t="s">
        <v>93</v>
      </c>
      <c r="B526" s="33" t="s">
        <v>386</v>
      </c>
      <c r="C526" s="36" t="s">
        <v>398</v>
      </c>
      <c r="D526" s="36">
        <v>600</v>
      </c>
      <c r="E526" s="37">
        <f>E527</f>
        <v>0</v>
      </c>
      <c r="F526" s="37">
        <f>F527</f>
        <v>2000000</v>
      </c>
      <c r="G526" s="25">
        <f t="shared" si="21"/>
        <v>2000000</v>
      </c>
      <c r="H526" s="38"/>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row>
    <row r="527" spans="1:34" s="44" customFormat="1" ht="15.75">
      <c r="A527" s="48" t="s">
        <v>94</v>
      </c>
      <c r="B527" s="33" t="s">
        <v>386</v>
      </c>
      <c r="C527" s="36" t="s">
        <v>398</v>
      </c>
      <c r="D527" s="36">
        <v>610</v>
      </c>
      <c r="E527" s="37">
        <v>0</v>
      </c>
      <c r="F527" s="37">
        <v>2000000</v>
      </c>
      <c r="G527" s="25">
        <f t="shared" si="21"/>
        <v>2000000</v>
      </c>
      <c r="H527" s="38"/>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row>
    <row r="528" spans="1:34" s="44" customFormat="1" ht="63">
      <c r="A528" s="48" t="s">
        <v>399</v>
      </c>
      <c r="B528" s="33" t="s">
        <v>386</v>
      </c>
      <c r="C528" s="36" t="s">
        <v>400</v>
      </c>
      <c r="D528" s="36"/>
      <c r="E528" s="37">
        <f>E529</f>
        <v>2105263.16</v>
      </c>
      <c r="F528" s="37">
        <f>F529</f>
        <v>0</v>
      </c>
      <c r="G528" s="25">
        <f t="shared" si="21"/>
        <v>2105263.16</v>
      </c>
      <c r="H528" s="38"/>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row>
    <row r="529" spans="1:34" s="44" customFormat="1" ht="31.5">
      <c r="A529" s="48" t="s">
        <v>93</v>
      </c>
      <c r="B529" s="33" t="s">
        <v>386</v>
      </c>
      <c r="C529" s="36" t="s">
        <v>400</v>
      </c>
      <c r="D529" s="36">
        <v>600</v>
      </c>
      <c r="E529" s="37">
        <f>E530</f>
        <v>2105263.16</v>
      </c>
      <c r="F529" s="37">
        <f>F530</f>
        <v>0</v>
      </c>
      <c r="G529" s="25">
        <f t="shared" si="21"/>
        <v>2105263.16</v>
      </c>
      <c r="H529" s="38"/>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row>
    <row r="530" spans="1:34" s="44" customFormat="1" ht="15.75">
      <c r="A530" s="48" t="s">
        <v>94</v>
      </c>
      <c r="B530" s="33" t="s">
        <v>386</v>
      </c>
      <c r="C530" s="36" t="s">
        <v>400</v>
      </c>
      <c r="D530" s="36">
        <v>610</v>
      </c>
      <c r="E530" s="37">
        <v>2105263.16</v>
      </c>
      <c r="F530" s="37">
        <v>0</v>
      </c>
      <c r="G530" s="25">
        <f t="shared" si="21"/>
        <v>2105263.16</v>
      </c>
      <c r="H530" s="38"/>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row>
    <row r="531" spans="1:34" s="44" customFormat="1" ht="47.25">
      <c r="A531" s="48" t="s">
        <v>401</v>
      </c>
      <c r="B531" s="33" t="s">
        <v>386</v>
      </c>
      <c r="C531" s="36" t="s">
        <v>402</v>
      </c>
      <c r="D531" s="36"/>
      <c r="E531" s="37">
        <f>E532</f>
        <v>39684960</v>
      </c>
      <c r="F531" s="37">
        <f>F532</f>
        <v>0</v>
      </c>
      <c r="G531" s="25">
        <f t="shared" si="21"/>
        <v>39684960</v>
      </c>
      <c r="H531" s="38"/>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row>
    <row r="532" spans="1:34" s="44" customFormat="1" ht="31.5">
      <c r="A532" s="48" t="s">
        <v>93</v>
      </c>
      <c r="B532" s="33" t="s">
        <v>386</v>
      </c>
      <c r="C532" s="36" t="s">
        <v>402</v>
      </c>
      <c r="D532" s="36">
        <v>600</v>
      </c>
      <c r="E532" s="37">
        <f>E533</f>
        <v>39684960</v>
      </c>
      <c r="F532" s="37">
        <f>F533</f>
        <v>0</v>
      </c>
      <c r="G532" s="25">
        <f t="shared" si="21"/>
        <v>39684960</v>
      </c>
      <c r="H532" s="38"/>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row>
    <row r="533" spans="1:34" s="44" customFormat="1" ht="15.75">
      <c r="A533" s="48" t="s">
        <v>94</v>
      </c>
      <c r="B533" s="33" t="s">
        <v>386</v>
      </c>
      <c r="C533" s="36" t="s">
        <v>402</v>
      </c>
      <c r="D533" s="36">
        <v>610</v>
      </c>
      <c r="E533" s="37">
        <v>39684960</v>
      </c>
      <c r="F533" s="37">
        <v>0</v>
      </c>
      <c r="G533" s="25">
        <f t="shared" si="21"/>
        <v>39684960</v>
      </c>
      <c r="H533" s="38"/>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row>
    <row r="534" spans="1:34" s="44" customFormat="1" ht="47.25">
      <c r="A534" s="31" t="s">
        <v>403</v>
      </c>
      <c r="B534" s="24" t="s">
        <v>386</v>
      </c>
      <c r="C534" s="26" t="s">
        <v>404</v>
      </c>
      <c r="D534" s="26"/>
      <c r="E534" s="27">
        <f>E535+E539</f>
        <v>93683924.84</v>
      </c>
      <c r="F534" s="27">
        <f>F535+F539</f>
        <v>0</v>
      </c>
      <c r="G534" s="25">
        <f t="shared" si="21"/>
        <v>93683924.84</v>
      </c>
      <c r="H534" s="38"/>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row>
    <row r="535" spans="1:34" s="44" customFormat="1" ht="47.25">
      <c r="A535" s="31" t="s">
        <v>405</v>
      </c>
      <c r="B535" s="24" t="s">
        <v>386</v>
      </c>
      <c r="C535" s="26" t="s">
        <v>406</v>
      </c>
      <c r="D535" s="26"/>
      <c r="E535" s="27">
        <f>E536</f>
        <v>27500000</v>
      </c>
      <c r="F535" s="27">
        <f>F536</f>
        <v>-2624353.16</v>
      </c>
      <c r="G535" s="25">
        <f t="shared" si="21"/>
        <v>24875646.84</v>
      </c>
      <c r="H535" s="38"/>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row>
    <row r="536" spans="1:34" s="44" customFormat="1" ht="31.5">
      <c r="A536" s="31" t="s">
        <v>93</v>
      </c>
      <c r="B536" s="24" t="s">
        <v>386</v>
      </c>
      <c r="C536" s="26" t="s">
        <v>406</v>
      </c>
      <c r="D536" s="26">
        <v>600</v>
      </c>
      <c r="E536" s="27">
        <f>SUM(E537:E538)</f>
        <v>27500000</v>
      </c>
      <c r="F536" s="27">
        <f>SUM(F537:F538)</f>
        <v>-2624353.16</v>
      </c>
      <c r="G536" s="25">
        <f t="shared" si="21"/>
        <v>24875646.84</v>
      </c>
      <c r="H536" s="38"/>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row>
    <row r="537" spans="1:34" s="44" customFormat="1" ht="15.75">
      <c r="A537" s="31" t="s">
        <v>94</v>
      </c>
      <c r="B537" s="24" t="s">
        <v>386</v>
      </c>
      <c r="C537" s="26" t="s">
        <v>406</v>
      </c>
      <c r="D537" s="26">
        <v>610</v>
      </c>
      <c r="E537" s="27">
        <v>26200000</v>
      </c>
      <c r="F537" s="27">
        <v>-2624353.16</v>
      </c>
      <c r="G537" s="25">
        <f t="shared" si="21"/>
        <v>23575646.84</v>
      </c>
      <c r="H537" s="38"/>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row>
    <row r="538" spans="1:34" s="44" customFormat="1" ht="31.5">
      <c r="A538" s="31" t="s">
        <v>103</v>
      </c>
      <c r="B538" s="24" t="s">
        <v>386</v>
      </c>
      <c r="C538" s="26" t="s">
        <v>406</v>
      </c>
      <c r="D538" s="26">
        <v>630</v>
      </c>
      <c r="E538" s="27">
        <v>1300000</v>
      </c>
      <c r="F538" s="27">
        <v>0</v>
      </c>
      <c r="G538" s="25">
        <f t="shared" si="21"/>
        <v>1300000</v>
      </c>
      <c r="H538" s="38"/>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row>
    <row r="539" spans="1:34" s="44" customFormat="1" ht="63">
      <c r="A539" s="48" t="s">
        <v>407</v>
      </c>
      <c r="B539" s="33" t="s">
        <v>386</v>
      </c>
      <c r="C539" s="36" t="s">
        <v>408</v>
      </c>
      <c r="D539" s="36"/>
      <c r="E539" s="37">
        <f>E540</f>
        <v>66183924.84</v>
      </c>
      <c r="F539" s="37">
        <f>F540</f>
        <v>2624353.16</v>
      </c>
      <c r="G539" s="25">
        <f t="shared" si="21"/>
        <v>68808278</v>
      </c>
      <c r="H539" s="38"/>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row>
    <row r="540" spans="1:34" s="44" customFormat="1" ht="31.5">
      <c r="A540" s="48" t="s">
        <v>93</v>
      </c>
      <c r="B540" s="33" t="s">
        <v>386</v>
      </c>
      <c r="C540" s="36" t="s">
        <v>408</v>
      </c>
      <c r="D540" s="36">
        <v>600</v>
      </c>
      <c r="E540" s="37">
        <f>E541</f>
        <v>66183924.84</v>
      </c>
      <c r="F540" s="37">
        <f>F541</f>
        <v>2624353.16</v>
      </c>
      <c r="G540" s="25">
        <f t="shared" si="21"/>
        <v>68808278</v>
      </c>
      <c r="H540" s="38"/>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row>
    <row r="541" spans="1:34" s="44" customFormat="1" ht="15.75">
      <c r="A541" s="48" t="s">
        <v>94</v>
      </c>
      <c r="B541" s="33" t="s">
        <v>386</v>
      </c>
      <c r="C541" s="36" t="s">
        <v>408</v>
      </c>
      <c r="D541" s="36">
        <v>610</v>
      </c>
      <c r="E541" s="37">
        <v>66183924.84</v>
      </c>
      <c r="F541" s="37">
        <v>2624353.16</v>
      </c>
      <c r="G541" s="25">
        <f t="shared" si="21"/>
        <v>68808278</v>
      </c>
      <c r="H541" s="38"/>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row>
    <row r="542" spans="1:34" s="44" customFormat="1" ht="15.75">
      <c r="A542" s="20" t="s">
        <v>409</v>
      </c>
      <c r="B542" s="21" t="s">
        <v>410</v>
      </c>
      <c r="C542" s="46"/>
      <c r="D542" s="46"/>
      <c r="E542" s="47">
        <f>E553+E543</f>
        <v>205100783</v>
      </c>
      <c r="F542" s="47">
        <f>F553+F543</f>
        <v>0</v>
      </c>
      <c r="G542" s="22">
        <f t="shared" si="21"/>
        <v>205100783</v>
      </c>
      <c r="H542" s="38"/>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row>
    <row r="543" spans="1:34" s="44" customFormat="1" ht="31.5">
      <c r="A543" s="31" t="s">
        <v>367</v>
      </c>
      <c r="B543" s="24" t="s">
        <v>410</v>
      </c>
      <c r="C543" s="26" t="s">
        <v>368</v>
      </c>
      <c r="D543" s="26"/>
      <c r="E543" s="49">
        <f>E544</f>
        <v>70400000</v>
      </c>
      <c r="F543" s="49">
        <f>F544</f>
        <v>0</v>
      </c>
      <c r="G543" s="25">
        <f t="shared" si="21"/>
        <v>70400000</v>
      </c>
      <c r="H543" s="38"/>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row>
    <row r="544" spans="1:34" s="44" customFormat="1" ht="31.5">
      <c r="A544" s="31" t="s">
        <v>411</v>
      </c>
      <c r="B544" s="24" t="s">
        <v>410</v>
      </c>
      <c r="C544" s="26" t="s">
        <v>412</v>
      </c>
      <c r="D544" s="26"/>
      <c r="E544" s="27">
        <f>SUM(E545,E549)</f>
        <v>70400000</v>
      </c>
      <c r="F544" s="27">
        <f>SUM(F545,F549)</f>
        <v>0</v>
      </c>
      <c r="G544" s="25">
        <f t="shared" si="21"/>
        <v>70400000</v>
      </c>
      <c r="H544" s="38"/>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row>
    <row r="545" spans="1:34" s="44" customFormat="1" ht="31.5">
      <c r="A545" s="31" t="s">
        <v>413</v>
      </c>
      <c r="B545" s="24" t="s">
        <v>410</v>
      </c>
      <c r="C545" s="26" t="s">
        <v>414</v>
      </c>
      <c r="D545" s="26"/>
      <c r="E545" s="27">
        <f>E546</f>
        <v>69700000</v>
      </c>
      <c r="F545" s="27">
        <f>F546</f>
        <v>-650000</v>
      </c>
      <c r="G545" s="25">
        <f t="shared" si="21"/>
        <v>69050000</v>
      </c>
      <c r="H545" s="38"/>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row>
    <row r="546" spans="1:34" s="44" customFormat="1" ht="31.5">
      <c r="A546" s="31" t="s">
        <v>93</v>
      </c>
      <c r="B546" s="24" t="s">
        <v>410</v>
      </c>
      <c r="C546" s="26" t="s">
        <v>414</v>
      </c>
      <c r="D546" s="26">
        <v>600</v>
      </c>
      <c r="E546" s="27">
        <f>E547+E548</f>
        <v>69700000</v>
      </c>
      <c r="F546" s="27">
        <f>F547+F548</f>
        <v>-650000</v>
      </c>
      <c r="G546" s="25">
        <f t="shared" si="21"/>
        <v>69050000</v>
      </c>
      <c r="H546" s="38"/>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row>
    <row r="547" spans="1:34" s="44" customFormat="1" ht="15.75">
      <c r="A547" s="31" t="s">
        <v>94</v>
      </c>
      <c r="B547" s="24" t="s">
        <v>410</v>
      </c>
      <c r="C547" s="26" t="s">
        <v>414</v>
      </c>
      <c r="D547" s="26">
        <v>610</v>
      </c>
      <c r="E547" s="27">
        <v>68800000</v>
      </c>
      <c r="F547" s="27">
        <v>0</v>
      </c>
      <c r="G547" s="25">
        <f t="shared" si="21"/>
        <v>68800000</v>
      </c>
      <c r="H547" s="38"/>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row>
    <row r="548" spans="1:34" s="44" customFormat="1" ht="15.75">
      <c r="A548" s="31" t="s">
        <v>336</v>
      </c>
      <c r="B548" s="24" t="s">
        <v>410</v>
      </c>
      <c r="C548" s="26" t="s">
        <v>414</v>
      </c>
      <c r="D548" s="26">
        <v>620</v>
      </c>
      <c r="E548" s="27">
        <v>900000</v>
      </c>
      <c r="F548" s="27">
        <v>-650000</v>
      </c>
      <c r="G548" s="25">
        <f t="shared" si="21"/>
        <v>250000</v>
      </c>
      <c r="H548" s="38"/>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row>
    <row r="549" spans="1:34" s="44" customFormat="1" ht="31.5">
      <c r="A549" s="31" t="s">
        <v>415</v>
      </c>
      <c r="B549" s="24" t="s">
        <v>410</v>
      </c>
      <c r="C549" s="26" t="s">
        <v>416</v>
      </c>
      <c r="D549" s="26"/>
      <c r="E549" s="27">
        <f>E550</f>
        <v>700000</v>
      </c>
      <c r="F549" s="27">
        <f>F550</f>
        <v>650000</v>
      </c>
      <c r="G549" s="25">
        <f t="shared" si="21"/>
        <v>1350000</v>
      </c>
      <c r="H549" s="38"/>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row>
    <row r="550" spans="1:34" s="44" customFormat="1" ht="31.5">
      <c r="A550" s="31" t="s">
        <v>93</v>
      </c>
      <c r="B550" s="24" t="s">
        <v>410</v>
      </c>
      <c r="C550" s="26" t="s">
        <v>416</v>
      </c>
      <c r="D550" s="26">
        <v>600</v>
      </c>
      <c r="E550" s="27">
        <f>SUM(E551:E552)</f>
        <v>700000</v>
      </c>
      <c r="F550" s="27">
        <f>SUM(F551:F552)</f>
        <v>650000</v>
      </c>
      <c r="G550" s="25">
        <f t="shared" si="21"/>
        <v>1350000</v>
      </c>
      <c r="H550" s="38"/>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row>
    <row r="551" spans="1:34" s="44" customFormat="1" ht="15.75">
      <c r="A551" s="31" t="s">
        <v>94</v>
      </c>
      <c r="B551" s="24" t="s">
        <v>410</v>
      </c>
      <c r="C551" s="26" t="s">
        <v>416</v>
      </c>
      <c r="D551" s="26">
        <v>610</v>
      </c>
      <c r="E551" s="27">
        <v>500000</v>
      </c>
      <c r="F551" s="27">
        <v>0</v>
      </c>
      <c r="G551" s="25">
        <f t="shared" si="21"/>
        <v>500000</v>
      </c>
      <c r="H551" s="38"/>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row>
    <row r="552" spans="1:34" s="44" customFormat="1" ht="15.75">
      <c r="A552" s="31" t="s">
        <v>336</v>
      </c>
      <c r="B552" s="24" t="s">
        <v>410</v>
      </c>
      <c r="C552" s="26" t="s">
        <v>416</v>
      </c>
      <c r="D552" s="26">
        <v>620</v>
      </c>
      <c r="E552" s="27">
        <v>200000</v>
      </c>
      <c r="F552" s="27">
        <v>650000</v>
      </c>
      <c r="G552" s="25">
        <f t="shared" si="21"/>
        <v>850000</v>
      </c>
      <c r="H552" s="38"/>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row>
    <row r="553" spans="1:34" s="44" customFormat="1" ht="31.5">
      <c r="A553" s="31" t="s">
        <v>417</v>
      </c>
      <c r="B553" s="24" t="s">
        <v>410</v>
      </c>
      <c r="C553" s="26" t="s">
        <v>418</v>
      </c>
      <c r="D553" s="26"/>
      <c r="E553" s="27">
        <f>E554</f>
        <v>134700783</v>
      </c>
      <c r="F553" s="27">
        <f>F554</f>
        <v>0</v>
      </c>
      <c r="G553" s="25">
        <f t="shared" si="21"/>
        <v>134700783</v>
      </c>
      <c r="H553" s="38"/>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row>
    <row r="554" spans="1:34" s="44" customFormat="1" ht="47.25">
      <c r="A554" s="61" t="s">
        <v>419</v>
      </c>
      <c r="B554" s="24" t="s">
        <v>410</v>
      </c>
      <c r="C554" s="26" t="s">
        <v>420</v>
      </c>
      <c r="D554" s="26"/>
      <c r="E554" s="27">
        <f>SUM(E555,E558,E561)</f>
        <v>134700783</v>
      </c>
      <c r="F554" s="27">
        <f>SUM(F555,F558,F561)</f>
        <v>0</v>
      </c>
      <c r="G554" s="25">
        <f t="shared" si="21"/>
        <v>134700783</v>
      </c>
      <c r="H554" s="38"/>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row>
    <row r="555" spans="1:34" s="44" customFormat="1" ht="31.5">
      <c r="A555" s="61" t="s">
        <v>421</v>
      </c>
      <c r="B555" s="24" t="s">
        <v>410</v>
      </c>
      <c r="C555" s="26" t="s">
        <v>422</v>
      </c>
      <c r="D555" s="26"/>
      <c r="E555" s="27">
        <f>E556</f>
        <v>120500000</v>
      </c>
      <c r="F555" s="27">
        <f>F556</f>
        <v>0</v>
      </c>
      <c r="G555" s="25">
        <f t="shared" si="21"/>
        <v>120500000</v>
      </c>
      <c r="H555" s="38"/>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row>
    <row r="556" spans="1:34" s="44" customFormat="1" ht="31.5">
      <c r="A556" s="31" t="s">
        <v>93</v>
      </c>
      <c r="B556" s="24" t="s">
        <v>410</v>
      </c>
      <c r="C556" s="26" t="s">
        <v>422</v>
      </c>
      <c r="D556" s="26">
        <v>600</v>
      </c>
      <c r="E556" s="27">
        <f>E557</f>
        <v>120500000</v>
      </c>
      <c r="F556" s="27">
        <f>F557</f>
        <v>0</v>
      </c>
      <c r="G556" s="25">
        <f t="shared" si="21"/>
        <v>120500000</v>
      </c>
      <c r="H556" s="38"/>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row>
    <row r="557" spans="1:34" s="44" customFormat="1" ht="15.75">
      <c r="A557" s="31" t="s">
        <v>94</v>
      </c>
      <c r="B557" s="24" t="s">
        <v>410</v>
      </c>
      <c r="C557" s="26" t="s">
        <v>422</v>
      </c>
      <c r="D557" s="26">
        <v>610</v>
      </c>
      <c r="E557" s="27">
        <f>120500000</f>
        <v>120500000</v>
      </c>
      <c r="F557" s="27">
        <v>0</v>
      </c>
      <c r="G557" s="25">
        <f t="shared" si="21"/>
        <v>120500000</v>
      </c>
      <c r="H557" s="38"/>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row>
    <row r="558" spans="1:34" s="44" customFormat="1" ht="47.25">
      <c r="A558" s="61" t="s">
        <v>423</v>
      </c>
      <c r="B558" s="24" t="s">
        <v>410</v>
      </c>
      <c r="C558" s="26" t="s">
        <v>424</v>
      </c>
      <c r="D558" s="26"/>
      <c r="E558" s="27">
        <f>E559</f>
        <v>831537.7</v>
      </c>
      <c r="F558" s="27">
        <f>F559</f>
        <v>0.04</v>
      </c>
      <c r="G558" s="25">
        <f t="shared" si="21"/>
        <v>831537.74</v>
      </c>
      <c r="H558" s="38"/>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row>
    <row r="559" spans="1:34" s="44" customFormat="1" ht="31.5">
      <c r="A559" s="31" t="s">
        <v>93</v>
      </c>
      <c r="B559" s="24" t="s">
        <v>410</v>
      </c>
      <c r="C559" s="26" t="s">
        <v>424</v>
      </c>
      <c r="D559" s="26">
        <v>600</v>
      </c>
      <c r="E559" s="27">
        <f>E560</f>
        <v>831537.7</v>
      </c>
      <c r="F559" s="27">
        <f>F560</f>
        <v>0.04</v>
      </c>
      <c r="G559" s="25">
        <f t="shared" si="21"/>
        <v>831537.74</v>
      </c>
      <c r="H559" s="38"/>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row>
    <row r="560" spans="1:34" s="44" customFormat="1" ht="15.75">
      <c r="A560" s="31" t="s">
        <v>94</v>
      </c>
      <c r="B560" s="24" t="s">
        <v>410</v>
      </c>
      <c r="C560" s="26" t="s">
        <v>424</v>
      </c>
      <c r="D560" s="26">
        <v>610</v>
      </c>
      <c r="E560" s="27">
        <f>1500000-668462.3</f>
        <v>831537.7</v>
      </c>
      <c r="F560" s="27">
        <v>0.04</v>
      </c>
      <c r="G560" s="25">
        <f t="shared" si="21"/>
        <v>831537.74</v>
      </c>
      <c r="H560" s="38"/>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row>
    <row r="561" spans="1:34" s="44" customFormat="1" ht="110.25">
      <c r="A561" s="94" t="s">
        <v>425</v>
      </c>
      <c r="B561" s="33" t="s">
        <v>410</v>
      </c>
      <c r="C561" s="36" t="s">
        <v>426</v>
      </c>
      <c r="D561" s="36"/>
      <c r="E561" s="37">
        <f>E562</f>
        <v>13369245.3</v>
      </c>
      <c r="F561" s="37">
        <f>F562</f>
        <v>-0.04</v>
      </c>
      <c r="G561" s="25">
        <f t="shared" si="21"/>
        <v>13369245.260000002</v>
      </c>
      <c r="H561" s="38"/>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row>
    <row r="562" spans="1:34" s="44" customFormat="1" ht="31.5">
      <c r="A562" s="94" t="s">
        <v>93</v>
      </c>
      <c r="B562" s="33" t="s">
        <v>410</v>
      </c>
      <c r="C562" s="36" t="s">
        <v>426</v>
      </c>
      <c r="D562" s="36">
        <v>600</v>
      </c>
      <c r="E562" s="37">
        <f>E563</f>
        <v>13369245.3</v>
      </c>
      <c r="F562" s="37">
        <f>F563</f>
        <v>-0.04</v>
      </c>
      <c r="G562" s="25">
        <f t="shared" si="21"/>
        <v>13369245.260000002</v>
      </c>
      <c r="H562" s="38"/>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row>
    <row r="563" spans="1:34" s="44" customFormat="1" ht="15.75">
      <c r="A563" s="94" t="s">
        <v>94</v>
      </c>
      <c r="B563" s="33" t="s">
        <v>410</v>
      </c>
      <c r="C563" s="36" t="s">
        <v>426</v>
      </c>
      <c r="D563" s="36">
        <v>610</v>
      </c>
      <c r="E563" s="37">
        <f>12700783+668462.3</f>
        <v>13369245.3</v>
      </c>
      <c r="F563" s="37">
        <v>-0.04</v>
      </c>
      <c r="G563" s="25">
        <f t="shared" si="21"/>
        <v>13369245.260000002</v>
      </c>
      <c r="H563" s="38"/>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row>
    <row r="564" spans="1:34" s="44" customFormat="1" ht="15.75">
      <c r="A564" s="20" t="s">
        <v>427</v>
      </c>
      <c r="B564" s="21" t="s">
        <v>428</v>
      </c>
      <c r="C564" s="26"/>
      <c r="D564" s="26"/>
      <c r="E564" s="47">
        <f>E570+E577+E565</f>
        <v>20458008</v>
      </c>
      <c r="F564" s="47">
        <f>F570+F577+F565</f>
        <v>0</v>
      </c>
      <c r="G564" s="22">
        <f t="shared" si="21"/>
        <v>20458008</v>
      </c>
      <c r="H564" s="38"/>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row>
    <row r="565" spans="1:34" s="44" customFormat="1" ht="31.5">
      <c r="A565" s="31" t="s">
        <v>367</v>
      </c>
      <c r="B565" s="24" t="s">
        <v>428</v>
      </c>
      <c r="C565" s="26" t="s">
        <v>368</v>
      </c>
      <c r="D565" s="26"/>
      <c r="E565" s="27">
        <f>E566</f>
        <v>11708008</v>
      </c>
      <c r="F565" s="27">
        <f>F566</f>
        <v>0</v>
      </c>
      <c r="G565" s="25">
        <f t="shared" si="21"/>
        <v>11708008</v>
      </c>
      <c r="H565" s="38"/>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row>
    <row r="566" spans="1:34" s="44" customFormat="1" ht="31.5">
      <c r="A566" s="31" t="s">
        <v>429</v>
      </c>
      <c r="B566" s="24" t="s">
        <v>428</v>
      </c>
      <c r="C566" s="26" t="s">
        <v>430</v>
      </c>
      <c r="D566" s="26"/>
      <c r="E566" s="27">
        <f>SUM(E567)</f>
        <v>11708008</v>
      </c>
      <c r="F566" s="27">
        <f>SUM(F567)</f>
        <v>0</v>
      </c>
      <c r="G566" s="25">
        <f t="shared" si="21"/>
        <v>11708008</v>
      </c>
      <c r="H566" s="38"/>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row>
    <row r="567" spans="1:34" s="44" customFormat="1" ht="31.5">
      <c r="A567" s="48" t="s">
        <v>431</v>
      </c>
      <c r="B567" s="33" t="s">
        <v>428</v>
      </c>
      <c r="C567" s="36" t="s">
        <v>432</v>
      </c>
      <c r="D567" s="36"/>
      <c r="E567" s="37">
        <f>E568</f>
        <v>11708008</v>
      </c>
      <c r="F567" s="37">
        <f>F568</f>
        <v>0</v>
      </c>
      <c r="G567" s="25">
        <f t="shared" si="21"/>
        <v>11708008</v>
      </c>
      <c r="H567" s="38"/>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row>
    <row r="568" spans="1:34" s="44" customFormat="1" ht="31.5">
      <c r="A568" s="35" t="s">
        <v>20</v>
      </c>
      <c r="B568" s="33" t="s">
        <v>428</v>
      </c>
      <c r="C568" s="36" t="s">
        <v>432</v>
      </c>
      <c r="D568" s="36">
        <v>200</v>
      </c>
      <c r="E568" s="37">
        <f>E569</f>
        <v>11708008</v>
      </c>
      <c r="F568" s="37">
        <f>F569</f>
        <v>0</v>
      </c>
      <c r="G568" s="25">
        <f t="shared" si="21"/>
        <v>11708008</v>
      </c>
      <c r="H568" s="38"/>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row>
    <row r="569" spans="1:34" s="44" customFormat="1" ht="31.5">
      <c r="A569" s="35" t="s">
        <v>22</v>
      </c>
      <c r="B569" s="33" t="s">
        <v>428</v>
      </c>
      <c r="C569" s="36" t="s">
        <v>432</v>
      </c>
      <c r="D569" s="36">
        <v>240</v>
      </c>
      <c r="E569" s="37">
        <f>2208008+9500000</f>
        <v>11708008</v>
      </c>
      <c r="F569" s="37">
        <v>0</v>
      </c>
      <c r="G569" s="25">
        <f t="shared" si="21"/>
        <v>11708008</v>
      </c>
      <c r="H569" s="38"/>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row>
    <row r="570" spans="1:34" s="44" customFormat="1" ht="15.75">
      <c r="A570" s="31" t="s">
        <v>433</v>
      </c>
      <c r="B570" s="24" t="s">
        <v>428</v>
      </c>
      <c r="C570" s="26" t="s">
        <v>434</v>
      </c>
      <c r="D570" s="26"/>
      <c r="E570" s="27">
        <f>SUM(E571,E574)</f>
        <v>8600000</v>
      </c>
      <c r="F570" s="27">
        <f>SUM(F571,F574)</f>
        <v>0</v>
      </c>
      <c r="G570" s="25">
        <f t="shared" si="21"/>
        <v>8600000</v>
      </c>
      <c r="H570" s="38"/>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row>
    <row r="571" spans="1:34" s="44" customFormat="1" ht="31.5">
      <c r="A571" s="31" t="s">
        <v>435</v>
      </c>
      <c r="B571" s="24" t="s">
        <v>428</v>
      </c>
      <c r="C571" s="26" t="s">
        <v>436</v>
      </c>
      <c r="D571" s="26"/>
      <c r="E571" s="27">
        <f>E572</f>
        <v>650000</v>
      </c>
      <c r="F571" s="27">
        <f>F572</f>
        <v>0</v>
      </c>
      <c r="G571" s="25">
        <f t="shared" si="21"/>
        <v>650000</v>
      </c>
      <c r="H571" s="38"/>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row>
    <row r="572" spans="1:34" s="44" customFormat="1" ht="31.5">
      <c r="A572" s="31" t="s">
        <v>93</v>
      </c>
      <c r="B572" s="24" t="s">
        <v>428</v>
      </c>
      <c r="C572" s="26" t="s">
        <v>436</v>
      </c>
      <c r="D572" s="26">
        <v>600</v>
      </c>
      <c r="E572" s="27">
        <f>E573</f>
        <v>650000</v>
      </c>
      <c r="F572" s="27">
        <f>F573</f>
        <v>0</v>
      </c>
      <c r="G572" s="25">
        <f t="shared" si="21"/>
        <v>650000</v>
      </c>
      <c r="H572" s="38"/>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row>
    <row r="573" spans="1:34" s="44" customFormat="1" ht="15.75">
      <c r="A573" s="31" t="s">
        <v>94</v>
      </c>
      <c r="B573" s="24" t="s">
        <v>428</v>
      </c>
      <c r="C573" s="26" t="s">
        <v>436</v>
      </c>
      <c r="D573" s="26">
        <v>610</v>
      </c>
      <c r="E573" s="49">
        <v>650000</v>
      </c>
      <c r="F573" s="49">
        <v>0</v>
      </c>
      <c r="G573" s="25">
        <f t="shared" si="21"/>
        <v>650000</v>
      </c>
      <c r="H573" s="38"/>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row>
    <row r="574" spans="1:34" s="44" customFormat="1" ht="31.5">
      <c r="A574" s="31" t="s">
        <v>437</v>
      </c>
      <c r="B574" s="24" t="s">
        <v>428</v>
      </c>
      <c r="C574" s="26" t="s">
        <v>438</v>
      </c>
      <c r="D574" s="26"/>
      <c r="E574" s="49">
        <f>E575</f>
        <v>7950000</v>
      </c>
      <c r="F574" s="49">
        <f>F575</f>
        <v>0</v>
      </c>
      <c r="G574" s="25">
        <f t="shared" si="21"/>
        <v>7950000</v>
      </c>
      <c r="H574" s="38"/>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row>
    <row r="575" spans="1:34" s="44" customFormat="1" ht="31.5">
      <c r="A575" s="31" t="s">
        <v>93</v>
      </c>
      <c r="B575" s="24" t="s">
        <v>428</v>
      </c>
      <c r="C575" s="26" t="s">
        <v>438</v>
      </c>
      <c r="D575" s="26">
        <v>600</v>
      </c>
      <c r="E575" s="49">
        <f>E576</f>
        <v>7950000</v>
      </c>
      <c r="F575" s="49">
        <f>F576</f>
        <v>0</v>
      </c>
      <c r="G575" s="25">
        <f t="shared" si="21"/>
        <v>7950000</v>
      </c>
      <c r="H575" s="38"/>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row>
    <row r="576" spans="1:34" s="44" customFormat="1" ht="15.75">
      <c r="A576" s="31" t="s">
        <v>94</v>
      </c>
      <c r="B576" s="24" t="s">
        <v>428</v>
      </c>
      <c r="C576" s="26" t="s">
        <v>438</v>
      </c>
      <c r="D576" s="26">
        <v>610</v>
      </c>
      <c r="E576" s="49">
        <v>7950000</v>
      </c>
      <c r="F576" s="49">
        <v>0</v>
      </c>
      <c r="G576" s="25">
        <f t="shared" si="21"/>
        <v>7950000</v>
      </c>
      <c r="H576" s="38"/>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row>
    <row r="577" spans="1:34" s="44" customFormat="1" ht="31.5">
      <c r="A577" s="31" t="s">
        <v>95</v>
      </c>
      <c r="B577" s="24" t="s">
        <v>428</v>
      </c>
      <c r="C577" s="26" t="s">
        <v>96</v>
      </c>
      <c r="D577" s="26"/>
      <c r="E577" s="27">
        <f aca="true" t="shared" si="22" ref="E577:F580">E578</f>
        <v>150000</v>
      </c>
      <c r="F577" s="27">
        <f t="shared" si="22"/>
        <v>0</v>
      </c>
      <c r="G577" s="25">
        <f t="shared" si="21"/>
        <v>150000</v>
      </c>
      <c r="H577" s="38"/>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row>
    <row r="578" spans="1:34" s="44" customFormat="1" ht="47.25">
      <c r="A578" s="61" t="s">
        <v>97</v>
      </c>
      <c r="B578" s="24" t="s">
        <v>428</v>
      </c>
      <c r="C578" s="26" t="s">
        <v>98</v>
      </c>
      <c r="D578" s="26"/>
      <c r="E578" s="27">
        <f t="shared" si="22"/>
        <v>150000</v>
      </c>
      <c r="F578" s="27">
        <f t="shared" si="22"/>
        <v>0</v>
      </c>
      <c r="G578" s="25">
        <f t="shared" si="21"/>
        <v>150000</v>
      </c>
      <c r="H578" s="38"/>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row>
    <row r="579" spans="1:34" s="44" customFormat="1" ht="31.5">
      <c r="A579" s="61" t="s">
        <v>439</v>
      </c>
      <c r="B579" s="24" t="s">
        <v>428</v>
      </c>
      <c r="C579" s="26" t="s">
        <v>440</v>
      </c>
      <c r="D579" s="26"/>
      <c r="E579" s="27">
        <f t="shared" si="22"/>
        <v>150000</v>
      </c>
      <c r="F579" s="27">
        <f t="shared" si="22"/>
        <v>0</v>
      </c>
      <c r="G579" s="25">
        <f t="shared" si="21"/>
        <v>150000</v>
      </c>
      <c r="H579" s="38"/>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row>
    <row r="580" spans="1:34" s="44" customFormat="1" ht="31.5">
      <c r="A580" s="31" t="s">
        <v>93</v>
      </c>
      <c r="B580" s="24" t="s">
        <v>428</v>
      </c>
      <c r="C580" s="26" t="s">
        <v>440</v>
      </c>
      <c r="D580" s="26">
        <v>600</v>
      </c>
      <c r="E580" s="27">
        <f t="shared" si="22"/>
        <v>150000</v>
      </c>
      <c r="F580" s="27">
        <f t="shared" si="22"/>
        <v>0</v>
      </c>
      <c r="G580" s="25">
        <f t="shared" si="21"/>
        <v>150000</v>
      </c>
      <c r="H580" s="38"/>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row>
    <row r="581" spans="1:34" s="44" customFormat="1" ht="15.75">
      <c r="A581" s="31" t="s">
        <v>94</v>
      </c>
      <c r="B581" s="24" t="s">
        <v>428</v>
      </c>
      <c r="C581" s="26" t="s">
        <v>440</v>
      </c>
      <c r="D581" s="26">
        <v>610</v>
      </c>
      <c r="E581" s="27">
        <v>150000</v>
      </c>
      <c r="F581" s="27">
        <v>0</v>
      </c>
      <c r="G581" s="25">
        <f t="shared" si="21"/>
        <v>150000</v>
      </c>
      <c r="H581" s="38"/>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row>
    <row r="582" spans="1:34" s="44" customFormat="1" ht="15.75">
      <c r="A582" s="20" t="s">
        <v>441</v>
      </c>
      <c r="B582" s="21" t="s">
        <v>442</v>
      </c>
      <c r="C582" s="26"/>
      <c r="D582" s="26"/>
      <c r="E582" s="47">
        <f>E583</f>
        <v>75579653</v>
      </c>
      <c r="F582" s="47">
        <f>F583</f>
        <v>300000</v>
      </c>
      <c r="G582" s="22">
        <f t="shared" si="21"/>
        <v>75879653</v>
      </c>
      <c r="H582" s="38"/>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row>
    <row r="583" spans="1:34" s="44" customFormat="1" ht="31.5">
      <c r="A583" s="31" t="s">
        <v>367</v>
      </c>
      <c r="B583" s="24" t="s">
        <v>442</v>
      </c>
      <c r="C583" s="26" t="s">
        <v>368</v>
      </c>
      <c r="D583" s="26"/>
      <c r="E583" s="27">
        <f>SUM(E584,E590,E597)</f>
        <v>75579653</v>
      </c>
      <c r="F583" s="27">
        <f>SUM(F584,F590,F597)</f>
        <v>300000</v>
      </c>
      <c r="G583" s="25">
        <f aca="true" t="shared" si="23" ref="G583:G646">SUM(E583:F583)</f>
        <v>75879653</v>
      </c>
      <c r="H583" s="38"/>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row>
    <row r="584" spans="1:34" s="44" customFormat="1" ht="31.5">
      <c r="A584" s="31" t="s">
        <v>429</v>
      </c>
      <c r="B584" s="24" t="s">
        <v>442</v>
      </c>
      <c r="C584" s="26" t="s">
        <v>430</v>
      </c>
      <c r="D584" s="26"/>
      <c r="E584" s="27">
        <f>E585</f>
        <v>2550000</v>
      </c>
      <c r="F584" s="27">
        <f>F585</f>
        <v>0</v>
      </c>
      <c r="G584" s="25">
        <f t="shared" si="23"/>
        <v>2550000</v>
      </c>
      <c r="H584" s="38"/>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row>
    <row r="585" spans="1:34" s="44" customFormat="1" ht="31.5">
      <c r="A585" s="31" t="s">
        <v>443</v>
      </c>
      <c r="B585" s="24" t="s">
        <v>442</v>
      </c>
      <c r="C585" s="26" t="s">
        <v>444</v>
      </c>
      <c r="D585" s="26"/>
      <c r="E585" s="27">
        <f>E586+E588</f>
        <v>2550000</v>
      </c>
      <c r="F585" s="27">
        <f>F586+F588</f>
        <v>0</v>
      </c>
      <c r="G585" s="25">
        <f t="shared" si="23"/>
        <v>2550000</v>
      </c>
      <c r="H585" s="38"/>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row>
    <row r="586" spans="1:34" s="44" customFormat="1" ht="31.5">
      <c r="A586" s="28" t="s">
        <v>20</v>
      </c>
      <c r="B586" s="24" t="s">
        <v>442</v>
      </c>
      <c r="C586" s="26" t="s">
        <v>444</v>
      </c>
      <c r="D586" s="26">
        <v>200</v>
      </c>
      <c r="E586" s="27">
        <f>E587</f>
        <v>2550000</v>
      </c>
      <c r="F586" s="27">
        <f>F587</f>
        <v>-2550000</v>
      </c>
      <c r="G586" s="25">
        <f t="shared" si="23"/>
        <v>0</v>
      </c>
      <c r="H586" s="38"/>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row>
    <row r="587" spans="1:34" s="44" customFormat="1" ht="31.5">
      <c r="A587" s="28" t="s">
        <v>22</v>
      </c>
      <c r="B587" s="24" t="s">
        <v>442</v>
      </c>
      <c r="C587" s="26" t="s">
        <v>444</v>
      </c>
      <c r="D587" s="26">
        <v>240</v>
      </c>
      <c r="E587" s="49">
        <v>2550000</v>
      </c>
      <c r="F587" s="49">
        <v>-2550000</v>
      </c>
      <c r="G587" s="25">
        <f t="shared" si="23"/>
        <v>0</v>
      </c>
      <c r="H587" s="38"/>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row>
    <row r="588" spans="1:34" s="44" customFormat="1" ht="31.5">
      <c r="A588" s="31" t="s">
        <v>93</v>
      </c>
      <c r="B588" s="24" t="s">
        <v>442</v>
      </c>
      <c r="C588" s="26" t="s">
        <v>444</v>
      </c>
      <c r="D588" s="26">
        <v>600</v>
      </c>
      <c r="E588" s="49">
        <f>E589</f>
        <v>0</v>
      </c>
      <c r="F588" s="49">
        <f>F589</f>
        <v>2550000</v>
      </c>
      <c r="G588" s="25">
        <f t="shared" si="23"/>
        <v>2550000</v>
      </c>
      <c r="H588" s="38"/>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row>
    <row r="589" spans="1:34" s="44" customFormat="1" ht="15.75">
      <c r="A589" s="31" t="s">
        <v>94</v>
      </c>
      <c r="B589" s="24" t="s">
        <v>442</v>
      </c>
      <c r="C589" s="26" t="s">
        <v>444</v>
      </c>
      <c r="D589" s="26">
        <v>610</v>
      </c>
      <c r="E589" s="49">
        <v>0</v>
      </c>
      <c r="F589" s="49">
        <v>2550000</v>
      </c>
      <c r="G589" s="25">
        <f t="shared" si="23"/>
        <v>2550000</v>
      </c>
      <c r="H589" s="38"/>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row>
    <row r="590" spans="1:34" s="44" customFormat="1" ht="36" customHeight="1">
      <c r="A590" s="61" t="s">
        <v>445</v>
      </c>
      <c r="B590" s="24" t="s">
        <v>442</v>
      </c>
      <c r="C590" s="26" t="s">
        <v>446</v>
      </c>
      <c r="D590" s="26"/>
      <c r="E590" s="27">
        <f>SUM(E591,E594)</f>
        <v>10512483</v>
      </c>
      <c r="F590" s="27">
        <f>SUM(F591,F594)</f>
        <v>0</v>
      </c>
      <c r="G590" s="25">
        <f t="shared" si="23"/>
        <v>10512483</v>
      </c>
      <c r="H590" s="38"/>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row>
    <row r="591" spans="1:34" s="44" customFormat="1" ht="31.5">
      <c r="A591" s="61" t="s">
        <v>447</v>
      </c>
      <c r="B591" s="24" t="s">
        <v>442</v>
      </c>
      <c r="C591" s="26" t="s">
        <v>448</v>
      </c>
      <c r="D591" s="26"/>
      <c r="E591" s="49">
        <f>E592</f>
        <v>10462483</v>
      </c>
      <c r="F591" s="49">
        <f>F592</f>
        <v>0</v>
      </c>
      <c r="G591" s="25">
        <f t="shared" si="23"/>
        <v>10462483</v>
      </c>
      <c r="H591" s="38"/>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row>
    <row r="592" spans="1:34" s="44" customFormat="1" ht="31.5">
      <c r="A592" s="31" t="s">
        <v>93</v>
      </c>
      <c r="B592" s="24" t="s">
        <v>442</v>
      </c>
      <c r="C592" s="26" t="s">
        <v>448</v>
      </c>
      <c r="D592" s="26">
        <v>600</v>
      </c>
      <c r="E592" s="49">
        <f>E593</f>
        <v>10462483</v>
      </c>
      <c r="F592" s="49">
        <f>F593</f>
        <v>0</v>
      </c>
      <c r="G592" s="25">
        <f t="shared" si="23"/>
        <v>10462483</v>
      </c>
      <c r="H592" s="38"/>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row>
    <row r="593" spans="1:34" s="44" customFormat="1" ht="15.75">
      <c r="A593" s="31" t="s">
        <v>94</v>
      </c>
      <c r="B593" s="24" t="s">
        <v>442</v>
      </c>
      <c r="C593" s="26" t="s">
        <v>448</v>
      </c>
      <c r="D593" s="26">
        <v>610</v>
      </c>
      <c r="E593" s="49">
        <v>10462483</v>
      </c>
      <c r="F593" s="49">
        <v>0</v>
      </c>
      <c r="G593" s="25">
        <f t="shared" si="23"/>
        <v>10462483</v>
      </c>
      <c r="H593" s="38"/>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row>
    <row r="594" spans="1:34" s="44" customFormat="1" ht="31.5">
      <c r="A594" s="61" t="s">
        <v>449</v>
      </c>
      <c r="B594" s="24" t="s">
        <v>442</v>
      </c>
      <c r="C594" s="26" t="s">
        <v>450</v>
      </c>
      <c r="D594" s="26"/>
      <c r="E594" s="49">
        <f>E595</f>
        <v>50000</v>
      </c>
      <c r="F594" s="49">
        <f>F595</f>
        <v>0</v>
      </c>
      <c r="G594" s="25">
        <f t="shared" si="23"/>
        <v>50000</v>
      </c>
      <c r="H594" s="38"/>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row>
    <row r="595" spans="1:34" s="44" customFormat="1" ht="31.5">
      <c r="A595" s="31" t="s">
        <v>93</v>
      </c>
      <c r="B595" s="24" t="s">
        <v>442</v>
      </c>
      <c r="C595" s="26" t="s">
        <v>450</v>
      </c>
      <c r="D595" s="26">
        <v>600</v>
      </c>
      <c r="E595" s="49">
        <f>E596</f>
        <v>50000</v>
      </c>
      <c r="F595" s="49">
        <f>F596</f>
        <v>0</v>
      </c>
      <c r="G595" s="25">
        <f t="shared" si="23"/>
        <v>50000</v>
      </c>
      <c r="H595" s="38"/>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row>
    <row r="596" spans="1:34" s="44" customFormat="1" ht="15.75">
      <c r="A596" s="31" t="s">
        <v>94</v>
      </c>
      <c r="B596" s="24" t="s">
        <v>442</v>
      </c>
      <c r="C596" s="26" t="s">
        <v>450</v>
      </c>
      <c r="D596" s="26">
        <v>610</v>
      </c>
      <c r="E596" s="49">
        <v>50000</v>
      </c>
      <c r="F596" s="49">
        <v>0</v>
      </c>
      <c r="G596" s="25">
        <f t="shared" si="23"/>
        <v>50000</v>
      </c>
      <c r="H596" s="38"/>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row>
    <row r="597" spans="1:34" s="44" customFormat="1" ht="31.5">
      <c r="A597" s="61" t="s">
        <v>451</v>
      </c>
      <c r="B597" s="24" t="s">
        <v>442</v>
      </c>
      <c r="C597" s="26" t="s">
        <v>452</v>
      </c>
      <c r="D597" s="26"/>
      <c r="E597" s="27">
        <f>SUM(E598,E607,E614,E617)</f>
        <v>62517170</v>
      </c>
      <c r="F597" s="27">
        <f>SUM(F598,F607,F614,F617)</f>
        <v>300000</v>
      </c>
      <c r="G597" s="25">
        <f t="shared" si="23"/>
        <v>62817170</v>
      </c>
      <c r="H597" s="38"/>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row>
    <row r="598" spans="1:34" s="44" customFormat="1" ht="31.5">
      <c r="A598" s="61" t="s">
        <v>453</v>
      </c>
      <c r="B598" s="24" t="s">
        <v>442</v>
      </c>
      <c r="C598" s="26" t="s">
        <v>454</v>
      </c>
      <c r="D598" s="26"/>
      <c r="E598" s="49">
        <f>SUM(E599,E601,E605,E603)</f>
        <v>11550000</v>
      </c>
      <c r="F598" s="49">
        <f>SUM(F599,F601,F605,F603)</f>
        <v>0</v>
      </c>
      <c r="G598" s="25">
        <f t="shared" si="23"/>
        <v>11550000</v>
      </c>
      <c r="H598" s="38"/>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row>
    <row r="599" spans="1:34" s="44" customFormat="1" ht="78.75">
      <c r="A599" s="23" t="s">
        <v>16</v>
      </c>
      <c r="B599" s="24" t="s">
        <v>442</v>
      </c>
      <c r="C599" s="26" t="s">
        <v>454</v>
      </c>
      <c r="D599" s="24" t="s">
        <v>17</v>
      </c>
      <c r="E599" s="49">
        <f>E600</f>
        <v>11110000</v>
      </c>
      <c r="F599" s="49">
        <f>F600</f>
        <v>0</v>
      </c>
      <c r="G599" s="25">
        <f t="shared" si="23"/>
        <v>11110000</v>
      </c>
      <c r="H599" s="38"/>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row>
    <row r="600" spans="1:34" s="44" customFormat="1" ht="31.5">
      <c r="A600" s="23" t="s">
        <v>18</v>
      </c>
      <c r="B600" s="24" t="s">
        <v>442</v>
      </c>
      <c r="C600" s="26" t="s">
        <v>454</v>
      </c>
      <c r="D600" s="24" t="s">
        <v>19</v>
      </c>
      <c r="E600" s="49">
        <v>11110000</v>
      </c>
      <c r="F600" s="49">
        <v>0</v>
      </c>
      <c r="G600" s="25">
        <f t="shared" si="23"/>
        <v>11110000</v>
      </c>
      <c r="H600" s="38"/>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row>
    <row r="601" spans="1:34" s="44" customFormat="1" ht="31.5">
      <c r="A601" s="28" t="s">
        <v>20</v>
      </c>
      <c r="B601" s="24" t="s">
        <v>442</v>
      </c>
      <c r="C601" s="26" t="s">
        <v>454</v>
      </c>
      <c r="D601" s="24" t="s">
        <v>21</v>
      </c>
      <c r="E601" s="49">
        <f>E602</f>
        <v>430000</v>
      </c>
      <c r="F601" s="49">
        <f>F602</f>
        <v>0</v>
      </c>
      <c r="G601" s="25">
        <f t="shared" si="23"/>
        <v>430000</v>
      </c>
      <c r="H601" s="38"/>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row>
    <row r="602" spans="1:34" s="44" customFormat="1" ht="31.5">
      <c r="A602" s="28" t="s">
        <v>22</v>
      </c>
      <c r="B602" s="24" t="s">
        <v>442</v>
      </c>
      <c r="C602" s="26" t="s">
        <v>454</v>
      </c>
      <c r="D602" s="24" t="s">
        <v>23</v>
      </c>
      <c r="E602" s="49">
        <v>430000</v>
      </c>
      <c r="F602" s="49">
        <v>0</v>
      </c>
      <c r="G602" s="25">
        <f t="shared" si="23"/>
        <v>430000</v>
      </c>
      <c r="H602" s="38"/>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row>
    <row r="603" spans="1:34" s="44" customFormat="1" ht="15.75">
      <c r="A603" s="31" t="s">
        <v>156</v>
      </c>
      <c r="B603" s="24" t="s">
        <v>442</v>
      </c>
      <c r="C603" s="26" t="s">
        <v>454</v>
      </c>
      <c r="D603" s="24" t="s">
        <v>455</v>
      </c>
      <c r="E603" s="49">
        <f>E604</f>
        <v>0</v>
      </c>
      <c r="F603" s="49">
        <f>F604</f>
        <v>10000</v>
      </c>
      <c r="G603" s="25">
        <f t="shared" si="23"/>
        <v>10000</v>
      </c>
      <c r="H603" s="38"/>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row>
    <row r="604" spans="1:34" s="44" customFormat="1" ht="31.5">
      <c r="A604" s="48" t="s">
        <v>157</v>
      </c>
      <c r="B604" s="24" t="s">
        <v>442</v>
      </c>
      <c r="C604" s="26" t="s">
        <v>454</v>
      </c>
      <c r="D604" s="24" t="s">
        <v>456</v>
      </c>
      <c r="E604" s="49">
        <v>0</v>
      </c>
      <c r="F604" s="49">
        <v>10000</v>
      </c>
      <c r="G604" s="25">
        <f t="shared" si="23"/>
        <v>10000</v>
      </c>
      <c r="H604" s="38"/>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row>
    <row r="605" spans="1:34" s="44" customFormat="1" ht="15.75">
      <c r="A605" s="28" t="s">
        <v>24</v>
      </c>
      <c r="B605" s="24" t="s">
        <v>442</v>
      </c>
      <c r="C605" s="26" t="s">
        <v>454</v>
      </c>
      <c r="D605" s="24" t="s">
        <v>25</v>
      </c>
      <c r="E605" s="49">
        <f>E606</f>
        <v>10000</v>
      </c>
      <c r="F605" s="49">
        <f>F606</f>
        <v>-10000</v>
      </c>
      <c r="G605" s="25">
        <f t="shared" si="23"/>
        <v>0</v>
      </c>
      <c r="H605" s="38"/>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row>
    <row r="606" spans="1:34" s="44" customFormat="1" ht="15.75">
      <c r="A606" s="28" t="s">
        <v>26</v>
      </c>
      <c r="B606" s="24" t="s">
        <v>442</v>
      </c>
      <c r="C606" s="26" t="s">
        <v>454</v>
      </c>
      <c r="D606" s="24" t="s">
        <v>27</v>
      </c>
      <c r="E606" s="49">
        <v>10000</v>
      </c>
      <c r="F606" s="49">
        <v>-10000</v>
      </c>
      <c r="G606" s="25">
        <f t="shared" si="23"/>
        <v>0</v>
      </c>
      <c r="H606" s="38"/>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row>
    <row r="607" spans="1:34" s="44" customFormat="1" ht="31.5">
      <c r="A607" s="61" t="s">
        <v>457</v>
      </c>
      <c r="B607" s="24" t="s">
        <v>442</v>
      </c>
      <c r="C607" s="26" t="s">
        <v>458</v>
      </c>
      <c r="D607" s="26"/>
      <c r="E607" s="49">
        <f>SUM(E608,E610,E612)</f>
        <v>50167170</v>
      </c>
      <c r="F607" s="49">
        <f>SUM(F608,F610,F612)</f>
        <v>0</v>
      </c>
      <c r="G607" s="25">
        <f t="shared" si="23"/>
        <v>50167170</v>
      </c>
      <c r="H607" s="38"/>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row>
    <row r="608" spans="1:34" s="44" customFormat="1" ht="78.75">
      <c r="A608" s="23" t="s">
        <v>16</v>
      </c>
      <c r="B608" s="24" t="s">
        <v>442</v>
      </c>
      <c r="C608" s="26" t="s">
        <v>458</v>
      </c>
      <c r="D608" s="26">
        <v>100</v>
      </c>
      <c r="E608" s="49">
        <f>E609</f>
        <v>45164170</v>
      </c>
      <c r="F608" s="49">
        <f>F609</f>
        <v>0</v>
      </c>
      <c r="G608" s="25">
        <f t="shared" si="23"/>
        <v>45164170</v>
      </c>
      <c r="H608" s="38"/>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row>
    <row r="609" spans="1:34" s="44" customFormat="1" ht="15.75">
      <c r="A609" s="23" t="s">
        <v>86</v>
      </c>
      <c r="B609" s="24" t="s">
        <v>442</v>
      </c>
      <c r="C609" s="26" t="s">
        <v>458</v>
      </c>
      <c r="D609" s="26">
        <v>110</v>
      </c>
      <c r="E609" s="49">
        <v>45164170</v>
      </c>
      <c r="F609" s="49">
        <v>0</v>
      </c>
      <c r="G609" s="25">
        <f t="shared" si="23"/>
        <v>45164170</v>
      </c>
      <c r="H609" s="38"/>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row>
    <row r="610" spans="1:34" s="44" customFormat="1" ht="31.5">
      <c r="A610" s="28" t="s">
        <v>20</v>
      </c>
      <c r="B610" s="24" t="s">
        <v>442</v>
      </c>
      <c r="C610" s="26" t="s">
        <v>458</v>
      </c>
      <c r="D610" s="26">
        <v>200</v>
      </c>
      <c r="E610" s="49">
        <f>E611</f>
        <v>4978000</v>
      </c>
      <c r="F610" s="49">
        <f>F611</f>
        <v>0</v>
      </c>
      <c r="G610" s="25">
        <f t="shared" si="23"/>
        <v>4978000</v>
      </c>
      <c r="H610" s="38"/>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row>
    <row r="611" spans="1:34" s="44" customFormat="1" ht="31.5">
      <c r="A611" s="28" t="s">
        <v>22</v>
      </c>
      <c r="B611" s="24" t="s">
        <v>442</v>
      </c>
      <c r="C611" s="26" t="s">
        <v>458</v>
      </c>
      <c r="D611" s="26">
        <v>240</v>
      </c>
      <c r="E611" s="49">
        <v>4978000</v>
      </c>
      <c r="F611" s="49">
        <v>0</v>
      </c>
      <c r="G611" s="25">
        <f t="shared" si="23"/>
        <v>4978000</v>
      </c>
      <c r="H611" s="38"/>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row>
    <row r="612" spans="1:34" s="44" customFormat="1" ht="15.75">
      <c r="A612" s="28" t="s">
        <v>24</v>
      </c>
      <c r="B612" s="24" t="s">
        <v>442</v>
      </c>
      <c r="C612" s="26" t="s">
        <v>458</v>
      </c>
      <c r="D612" s="26">
        <v>800</v>
      </c>
      <c r="E612" s="49">
        <f>E613</f>
        <v>25000</v>
      </c>
      <c r="F612" s="49">
        <f>F613</f>
        <v>0</v>
      </c>
      <c r="G612" s="25">
        <f t="shared" si="23"/>
        <v>25000</v>
      </c>
      <c r="H612" s="38"/>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row>
    <row r="613" spans="1:34" s="44" customFormat="1" ht="15.75">
      <c r="A613" s="28" t="s">
        <v>26</v>
      </c>
      <c r="B613" s="24" t="s">
        <v>442</v>
      </c>
      <c r="C613" s="26" t="s">
        <v>458</v>
      </c>
      <c r="D613" s="26">
        <v>850</v>
      </c>
      <c r="E613" s="95">
        <v>25000</v>
      </c>
      <c r="F613" s="95">
        <v>0</v>
      </c>
      <c r="G613" s="25">
        <f t="shared" si="23"/>
        <v>25000</v>
      </c>
      <c r="H613" s="38"/>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row>
    <row r="614" spans="1:34" s="44" customFormat="1" ht="31.5">
      <c r="A614" s="61" t="s">
        <v>459</v>
      </c>
      <c r="B614" s="24" t="s">
        <v>442</v>
      </c>
      <c r="C614" s="26" t="s">
        <v>460</v>
      </c>
      <c r="D614" s="26"/>
      <c r="E614" s="49">
        <f>E615</f>
        <v>500000</v>
      </c>
      <c r="F614" s="49">
        <f>F615</f>
        <v>300000</v>
      </c>
      <c r="G614" s="25">
        <f t="shared" si="23"/>
        <v>800000</v>
      </c>
      <c r="H614" s="38"/>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row>
    <row r="615" spans="1:34" s="44" customFormat="1" ht="15.75">
      <c r="A615" s="31" t="s">
        <v>156</v>
      </c>
      <c r="B615" s="24" t="s">
        <v>442</v>
      </c>
      <c r="C615" s="26" t="s">
        <v>460</v>
      </c>
      <c r="D615" s="26">
        <v>300</v>
      </c>
      <c r="E615" s="27">
        <f>E616</f>
        <v>500000</v>
      </c>
      <c r="F615" s="27">
        <f>F616</f>
        <v>300000</v>
      </c>
      <c r="G615" s="25">
        <f t="shared" si="23"/>
        <v>800000</v>
      </c>
      <c r="H615" s="38"/>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row>
    <row r="616" spans="1:34" s="44" customFormat="1" ht="31.5">
      <c r="A616" s="31" t="s">
        <v>461</v>
      </c>
      <c r="B616" s="24" t="s">
        <v>442</v>
      </c>
      <c r="C616" s="26" t="s">
        <v>460</v>
      </c>
      <c r="D616" s="26">
        <v>330</v>
      </c>
      <c r="E616" s="49">
        <v>500000</v>
      </c>
      <c r="F616" s="49">
        <v>300000</v>
      </c>
      <c r="G616" s="25">
        <f t="shared" si="23"/>
        <v>800000</v>
      </c>
      <c r="H616" s="38"/>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row>
    <row r="617" spans="1:34" s="44" customFormat="1" ht="15.75">
      <c r="A617" s="31" t="s">
        <v>462</v>
      </c>
      <c r="B617" s="24" t="s">
        <v>442</v>
      </c>
      <c r="C617" s="26" t="s">
        <v>463</v>
      </c>
      <c r="D617" s="26"/>
      <c r="E617" s="49">
        <f>E618</f>
        <v>300000</v>
      </c>
      <c r="F617" s="49">
        <f>F618</f>
        <v>0</v>
      </c>
      <c r="G617" s="25">
        <f t="shared" si="23"/>
        <v>300000</v>
      </c>
      <c r="H617" s="38"/>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row>
    <row r="618" spans="1:34" s="44" customFormat="1" ht="31.5">
      <c r="A618" s="31" t="s">
        <v>93</v>
      </c>
      <c r="B618" s="24" t="s">
        <v>442</v>
      </c>
      <c r="C618" s="26" t="s">
        <v>463</v>
      </c>
      <c r="D618" s="26">
        <v>600</v>
      </c>
      <c r="E618" s="49">
        <f>E619</f>
        <v>300000</v>
      </c>
      <c r="F618" s="49">
        <f>F619</f>
        <v>0</v>
      </c>
      <c r="G618" s="25">
        <f t="shared" si="23"/>
        <v>300000</v>
      </c>
      <c r="H618" s="38"/>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row>
    <row r="619" spans="1:34" s="44" customFormat="1" ht="15.75">
      <c r="A619" s="31" t="s">
        <v>94</v>
      </c>
      <c r="B619" s="24" t="s">
        <v>442</v>
      </c>
      <c r="C619" s="26" t="s">
        <v>463</v>
      </c>
      <c r="D619" s="26">
        <v>610</v>
      </c>
      <c r="E619" s="49">
        <v>300000</v>
      </c>
      <c r="F619" s="49">
        <v>0</v>
      </c>
      <c r="G619" s="25">
        <f t="shared" si="23"/>
        <v>300000</v>
      </c>
      <c r="H619" s="38"/>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row>
    <row r="620" spans="1:34" s="44" customFormat="1" ht="15.75">
      <c r="A620" s="17" t="s">
        <v>464</v>
      </c>
      <c r="B620" s="18" t="s">
        <v>465</v>
      </c>
      <c r="C620" s="26"/>
      <c r="D620" s="26"/>
      <c r="E620" s="66">
        <f>SUM(E621,E677,E683)</f>
        <v>256626151</v>
      </c>
      <c r="F620" s="66">
        <f>SUM(F621,F677,F683)</f>
        <v>0</v>
      </c>
      <c r="G620" s="19">
        <f t="shared" si="23"/>
        <v>256626151</v>
      </c>
      <c r="H620" s="38"/>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row>
    <row r="621" spans="1:34" s="44" customFormat="1" ht="15.75">
      <c r="A621" s="20" t="s">
        <v>466</v>
      </c>
      <c r="B621" s="21" t="s">
        <v>467</v>
      </c>
      <c r="C621" s="26"/>
      <c r="D621" s="26"/>
      <c r="E621" s="47">
        <f>E622+E668</f>
        <v>213041151</v>
      </c>
      <c r="F621" s="47">
        <f>F622+F668</f>
        <v>0</v>
      </c>
      <c r="G621" s="22">
        <f t="shared" si="23"/>
        <v>213041151</v>
      </c>
      <c r="H621" s="38"/>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row>
    <row r="622" spans="1:34" s="44" customFormat="1" ht="31.5">
      <c r="A622" s="31" t="s">
        <v>417</v>
      </c>
      <c r="B622" s="24" t="s">
        <v>467</v>
      </c>
      <c r="C622" s="26" t="s">
        <v>418</v>
      </c>
      <c r="D622" s="26"/>
      <c r="E622" s="27">
        <f>E623+E658+E651</f>
        <v>212441151</v>
      </c>
      <c r="F622" s="27">
        <f>F623+F658+F651</f>
        <v>0</v>
      </c>
      <c r="G622" s="25">
        <f t="shared" si="23"/>
        <v>212441151</v>
      </c>
      <c r="H622" s="38"/>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row>
    <row r="623" spans="1:34" s="44" customFormat="1" ht="31.5">
      <c r="A623" s="61" t="s">
        <v>468</v>
      </c>
      <c r="B623" s="24" t="s">
        <v>467</v>
      </c>
      <c r="C623" s="26" t="s">
        <v>469</v>
      </c>
      <c r="D623" s="26"/>
      <c r="E623" s="27">
        <f>SUM(E624,E628,E632,E636,E639,E645,E648)</f>
        <v>118569000</v>
      </c>
      <c r="F623" s="27">
        <f>SUM(F624,F628,F632,F636,F639,F645,F648)</f>
        <v>0</v>
      </c>
      <c r="G623" s="25">
        <f t="shared" si="23"/>
        <v>118569000</v>
      </c>
      <c r="H623" s="38"/>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row>
    <row r="624" spans="1:34" s="44" customFormat="1" ht="15.75">
      <c r="A624" s="61" t="s">
        <v>470</v>
      </c>
      <c r="B624" s="24" t="s">
        <v>467</v>
      </c>
      <c r="C624" s="26" t="s">
        <v>471</v>
      </c>
      <c r="D624" s="26"/>
      <c r="E624" s="27">
        <f>SUM(E625)</f>
        <v>5000000</v>
      </c>
      <c r="F624" s="27">
        <f>SUM(F625)</f>
        <v>0</v>
      </c>
      <c r="G624" s="25">
        <f t="shared" si="23"/>
        <v>5000000</v>
      </c>
      <c r="H624" s="38"/>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row>
    <row r="625" spans="1:34" s="44" customFormat="1" ht="31.5">
      <c r="A625" s="31" t="s">
        <v>93</v>
      </c>
      <c r="B625" s="24" t="s">
        <v>467</v>
      </c>
      <c r="C625" s="26" t="s">
        <v>471</v>
      </c>
      <c r="D625" s="26">
        <v>600</v>
      </c>
      <c r="E625" s="27">
        <f>SUM(E626:E627)</f>
        <v>5000000</v>
      </c>
      <c r="F625" s="27">
        <f>SUM(F626:F627)</f>
        <v>0</v>
      </c>
      <c r="G625" s="25">
        <f t="shared" si="23"/>
        <v>5000000</v>
      </c>
      <c r="H625" s="38"/>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row>
    <row r="626" spans="1:34" s="44" customFormat="1" ht="15.75">
      <c r="A626" s="31" t="s">
        <v>94</v>
      </c>
      <c r="B626" s="24" t="s">
        <v>467</v>
      </c>
      <c r="C626" s="26" t="s">
        <v>471</v>
      </c>
      <c r="D626" s="26">
        <v>610</v>
      </c>
      <c r="E626" s="27">
        <v>4500000</v>
      </c>
      <c r="F626" s="27">
        <v>0</v>
      </c>
      <c r="G626" s="25">
        <f t="shared" si="23"/>
        <v>4500000</v>
      </c>
      <c r="H626" s="38"/>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row>
    <row r="627" spans="1:34" s="44" customFormat="1" ht="15.75">
      <c r="A627" s="31" t="s">
        <v>336</v>
      </c>
      <c r="B627" s="24" t="s">
        <v>467</v>
      </c>
      <c r="C627" s="26" t="s">
        <v>471</v>
      </c>
      <c r="D627" s="26">
        <v>620</v>
      </c>
      <c r="E627" s="27">
        <v>500000</v>
      </c>
      <c r="F627" s="27">
        <v>0</v>
      </c>
      <c r="G627" s="25">
        <f t="shared" si="23"/>
        <v>500000</v>
      </c>
      <c r="H627" s="38"/>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row>
    <row r="628" spans="1:34" s="44" customFormat="1" ht="31.5">
      <c r="A628" s="61" t="s">
        <v>472</v>
      </c>
      <c r="B628" s="24" t="s">
        <v>467</v>
      </c>
      <c r="C628" s="26" t="s">
        <v>473</v>
      </c>
      <c r="D628" s="26"/>
      <c r="E628" s="27">
        <f>E629</f>
        <v>100169000</v>
      </c>
      <c r="F628" s="27">
        <f>F629</f>
        <v>-3800000</v>
      </c>
      <c r="G628" s="25">
        <f t="shared" si="23"/>
        <v>96369000</v>
      </c>
      <c r="H628" s="38"/>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row>
    <row r="629" spans="1:34" s="44" customFormat="1" ht="31.5">
      <c r="A629" s="31" t="s">
        <v>93</v>
      </c>
      <c r="B629" s="24" t="s">
        <v>467</v>
      </c>
      <c r="C629" s="26" t="s">
        <v>473</v>
      </c>
      <c r="D629" s="26">
        <v>600</v>
      </c>
      <c r="E629" s="27">
        <f>E630+E631</f>
        <v>100169000</v>
      </c>
      <c r="F629" s="27">
        <f>F630+F631</f>
        <v>-3800000</v>
      </c>
      <c r="G629" s="25">
        <f t="shared" si="23"/>
        <v>96369000</v>
      </c>
      <c r="H629" s="38"/>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row>
    <row r="630" spans="1:34" s="44" customFormat="1" ht="15.75">
      <c r="A630" s="31" t="s">
        <v>94</v>
      </c>
      <c r="B630" s="24" t="s">
        <v>467</v>
      </c>
      <c r="C630" s="26" t="s">
        <v>473</v>
      </c>
      <c r="D630" s="26">
        <v>610</v>
      </c>
      <c r="E630" s="49">
        <v>55129000</v>
      </c>
      <c r="F630" s="49">
        <v>-3800000</v>
      </c>
      <c r="G630" s="25">
        <f t="shared" si="23"/>
        <v>51329000</v>
      </c>
      <c r="H630" s="38"/>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row>
    <row r="631" spans="1:34" s="44" customFormat="1" ht="15.75">
      <c r="A631" s="31" t="s">
        <v>336</v>
      </c>
      <c r="B631" s="24" t="s">
        <v>467</v>
      </c>
      <c r="C631" s="26" t="s">
        <v>473</v>
      </c>
      <c r="D631" s="26">
        <v>620</v>
      </c>
      <c r="E631" s="49">
        <v>45040000</v>
      </c>
      <c r="F631" s="49">
        <v>0</v>
      </c>
      <c r="G631" s="25">
        <f t="shared" si="23"/>
        <v>45040000</v>
      </c>
      <c r="H631" s="38"/>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row>
    <row r="632" spans="1:34" s="44" customFormat="1" ht="47.25">
      <c r="A632" s="61" t="s">
        <v>474</v>
      </c>
      <c r="B632" s="24" t="s">
        <v>467</v>
      </c>
      <c r="C632" s="26" t="s">
        <v>475</v>
      </c>
      <c r="D632" s="26"/>
      <c r="E632" s="27">
        <f>E633</f>
        <v>6400000</v>
      </c>
      <c r="F632" s="27">
        <f>F633</f>
        <v>3800000</v>
      </c>
      <c r="G632" s="25">
        <f t="shared" si="23"/>
        <v>10200000</v>
      </c>
      <c r="H632" s="38"/>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row>
    <row r="633" spans="1:34" s="44" customFormat="1" ht="31.5">
      <c r="A633" s="31" t="s">
        <v>93</v>
      </c>
      <c r="B633" s="24" t="s">
        <v>467</v>
      </c>
      <c r="C633" s="26" t="s">
        <v>475</v>
      </c>
      <c r="D633" s="26">
        <v>600</v>
      </c>
      <c r="E633" s="27">
        <f>E634+E635</f>
        <v>6400000</v>
      </c>
      <c r="F633" s="27">
        <f>F634+F635</f>
        <v>3800000</v>
      </c>
      <c r="G633" s="25">
        <f t="shared" si="23"/>
        <v>10200000</v>
      </c>
      <c r="H633" s="38"/>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row>
    <row r="634" spans="1:34" s="44" customFormat="1" ht="15.75">
      <c r="A634" s="31" t="s">
        <v>94</v>
      </c>
      <c r="B634" s="24" t="s">
        <v>467</v>
      </c>
      <c r="C634" s="26" t="s">
        <v>475</v>
      </c>
      <c r="D634" s="26">
        <v>610</v>
      </c>
      <c r="E634" s="27">
        <v>4900000</v>
      </c>
      <c r="F634" s="27">
        <v>3800000</v>
      </c>
      <c r="G634" s="25">
        <f t="shared" si="23"/>
        <v>8700000</v>
      </c>
      <c r="H634" s="38"/>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row>
    <row r="635" spans="1:34" s="44" customFormat="1" ht="15.75">
      <c r="A635" s="31" t="s">
        <v>336</v>
      </c>
      <c r="B635" s="24" t="s">
        <v>467</v>
      </c>
      <c r="C635" s="26" t="s">
        <v>475</v>
      </c>
      <c r="D635" s="26">
        <v>620</v>
      </c>
      <c r="E635" s="27">
        <v>1500000</v>
      </c>
      <c r="F635" s="27">
        <v>0</v>
      </c>
      <c r="G635" s="25">
        <f t="shared" si="23"/>
        <v>1500000</v>
      </c>
      <c r="H635" s="38"/>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row>
    <row r="636" spans="1:34" s="44" customFormat="1" ht="47.25">
      <c r="A636" s="61" t="s">
        <v>476</v>
      </c>
      <c r="B636" s="24" t="s">
        <v>467</v>
      </c>
      <c r="C636" s="26" t="s">
        <v>477</v>
      </c>
      <c r="D636" s="26"/>
      <c r="E636" s="27">
        <f>E637</f>
        <v>6000000</v>
      </c>
      <c r="F636" s="27">
        <f>F637</f>
        <v>0</v>
      </c>
      <c r="G636" s="25">
        <f t="shared" si="23"/>
        <v>6000000</v>
      </c>
      <c r="H636" s="38"/>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row>
    <row r="637" spans="1:34" s="44" customFormat="1" ht="15.75">
      <c r="A637" s="31" t="s">
        <v>24</v>
      </c>
      <c r="B637" s="24" t="s">
        <v>467</v>
      </c>
      <c r="C637" s="26" t="s">
        <v>477</v>
      </c>
      <c r="D637" s="26">
        <v>800</v>
      </c>
      <c r="E637" s="27">
        <f>E638</f>
        <v>6000000</v>
      </c>
      <c r="F637" s="27">
        <f>F638</f>
        <v>0</v>
      </c>
      <c r="G637" s="25">
        <f t="shared" si="23"/>
        <v>6000000</v>
      </c>
      <c r="H637" s="38"/>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row>
    <row r="638" spans="1:34" s="44" customFormat="1" ht="47.25">
      <c r="A638" s="31" t="s">
        <v>181</v>
      </c>
      <c r="B638" s="24" t="s">
        <v>467</v>
      </c>
      <c r="C638" s="26" t="s">
        <v>477</v>
      </c>
      <c r="D638" s="26">
        <v>810</v>
      </c>
      <c r="E638" s="27">
        <v>6000000</v>
      </c>
      <c r="F638" s="27">
        <v>0</v>
      </c>
      <c r="G638" s="25">
        <f t="shared" si="23"/>
        <v>6000000</v>
      </c>
      <c r="H638" s="38"/>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row>
    <row r="639" spans="1:34" s="44" customFormat="1" ht="31.5">
      <c r="A639" s="31" t="s">
        <v>478</v>
      </c>
      <c r="B639" s="24" t="s">
        <v>467</v>
      </c>
      <c r="C639" s="26" t="s">
        <v>479</v>
      </c>
      <c r="D639" s="26"/>
      <c r="E639" s="27">
        <f>E640+E642</f>
        <v>300000</v>
      </c>
      <c r="F639" s="27">
        <f>F640+F642</f>
        <v>0</v>
      </c>
      <c r="G639" s="25">
        <f t="shared" si="23"/>
        <v>300000</v>
      </c>
      <c r="H639" s="38"/>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row>
    <row r="640" spans="1:34" s="44" customFormat="1" ht="31.5">
      <c r="A640" s="28" t="s">
        <v>20</v>
      </c>
      <c r="B640" s="24" t="s">
        <v>467</v>
      </c>
      <c r="C640" s="26" t="s">
        <v>479</v>
      </c>
      <c r="D640" s="26">
        <v>200</v>
      </c>
      <c r="E640" s="27">
        <f>SUM(E641:E641)</f>
        <v>300000</v>
      </c>
      <c r="F640" s="27">
        <f>SUM(F641:F641)</f>
        <v>-300000</v>
      </c>
      <c r="G640" s="25">
        <f t="shared" si="23"/>
        <v>0</v>
      </c>
      <c r="H640" s="38"/>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row>
    <row r="641" spans="1:34" s="44" customFormat="1" ht="31.5">
      <c r="A641" s="28" t="s">
        <v>22</v>
      </c>
      <c r="B641" s="24" t="s">
        <v>467</v>
      </c>
      <c r="C641" s="26" t="s">
        <v>479</v>
      </c>
      <c r="D641" s="26">
        <v>240</v>
      </c>
      <c r="E641" s="27">
        <v>300000</v>
      </c>
      <c r="F641" s="27">
        <v>-300000</v>
      </c>
      <c r="G641" s="25">
        <f t="shared" si="23"/>
        <v>0</v>
      </c>
      <c r="H641" s="38"/>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row>
    <row r="642" spans="1:34" s="44" customFormat="1" ht="31.5">
      <c r="A642" s="31" t="s">
        <v>93</v>
      </c>
      <c r="B642" s="24" t="s">
        <v>467</v>
      </c>
      <c r="C642" s="26" t="s">
        <v>479</v>
      </c>
      <c r="D642" s="26">
        <v>600</v>
      </c>
      <c r="E642" s="27">
        <f>E643+E644</f>
        <v>0</v>
      </c>
      <c r="F642" s="27">
        <f>F643+F644</f>
        <v>300000</v>
      </c>
      <c r="G642" s="25">
        <f t="shared" si="23"/>
        <v>300000</v>
      </c>
      <c r="H642" s="38"/>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row>
    <row r="643" spans="1:34" s="44" customFormat="1" ht="15.75">
      <c r="A643" s="31" t="s">
        <v>94</v>
      </c>
      <c r="B643" s="24" t="s">
        <v>467</v>
      </c>
      <c r="C643" s="26" t="s">
        <v>479</v>
      </c>
      <c r="D643" s="26">
        <v>610</v>
      </c>
      <c r="E643" s="27">
        <v>0</v>
      </c>
      <c r="F643" s="27">
        <v>100000</v>
      </c>
      <c r="G643" s="25">
        <f t="shared" si="23"/>
        <v>100000</v>
      </c>
      <c r="H643" s="38"/>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row>
    <row r="644" spans="1:34" s="44" customFormat="1" ht="15.75">
      <c r="A644" s="31" t="s">
        <v>336</v>
      </c>
      <c r="B644" s="24" t="s">
        <v>467</v>
      </c>
      <c r="C644" s="26" t="s">
        <v>479</v>
      </c>
      <c r="D644" s="26">
        <v>620</v>
      </c>
      <c r="E644" s="27">
        <v>0</v>
      </c>
      <c r="F644" s="27">
        <v>200000</v>
      </c>
      <c r="G644" s="25">
        <f t="shared" si="23"/>
        <v>200000</v>
      </c>
      <c r="H644" s="38"/>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row>
    <row r="645" spans="1:34" s="44" customFormat="1" ht="31.5">
      <c r="A645" s="61" t="s">
        <v>480</v>
      </c>
      <c r="B645" s="24" t="s">
        <v>467</v>
      </c>
      <c r="C645" s="26" t="s">
        <v>481</v>
      </c>
      <c r="D645" s="26"/>
      <c r="E645" s="49">
        <f>E646</f>
        <v>500000</v>
      </c>
      <c r="F645" s="49">
        <f>F646</f>
        <v>0</v>
      </c>
      <c r="G645" s="25">
        <f t="shared" si="23"/>
        <v>500000</v>
      </c>
      <c r="H645" s="38"/>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row>
    <row r="646" spans="1:34" s="44" customFormat="1" ht="31.5">
      <c r="A646" s="31" t="s">
        <v>93</v>
      </c>
      <c r="B646" s="24" t="s">
        <v>467</v>
      </c>
      <c r="C646" s="26" t="s">
        <v>481</v>
      </c>
      <c r="D646" s="26">
        <v>600</v>
      </c>
      <c r="E646" s="49">
        <f>E647</f>
        <v>500000</v>
      </c>
      <c r="F646" s="49">
        <f>F647</f>
        <v>0</v>
      </c>
      <c r="G646" s="25">
        <f t="shared" si="23"/>
        <v>500000</v>
      </c>
      <c r="H646" s="38"/>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row>
    <row r="647" spans="1:34" s="44" customFormat="1" ht="15.75">
      <c r="A647" s="31" t="s">
        <v>94</v>
      </c>
      <c r="B647" s="24" t="s">
        <v>467</v>
      </c>
      <c r="C647" s="26" t="s">
        <v>481</v>
      </c>
      <c r="D647" s="26">
        <v>610</v>
      </c>
      <c r="E647" s="49">
        <v>500000</v>
      </c>
      <c r="F647" s="49">
        <v>0</v>
      </c>
      <c r="G647" s="25">
        <f aca="true" t="shared" si="24" ref="G647:G710">SUM(E647:F647)</f>
        <v>500000</v>
      </c>
      <c r="H647" s="38"/>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row>
    <row r="648" spans="1:34" s="44" customFormat="1" ht="15.75">
      <c r="A648" s="31" t="s">
        <v>482</v>
      </c>
      <c r="B648" s="24" t="s">
        <v>467</v>
      </c>
      <c r="C648" s="26" t="s">
        <v>483</v>
      </c>
      <c r="D648" s="26"/>
      <c r="E648" s="49">
        <f>E649</f>
        <v>200000</v>
      </c>
      <c r="F648" s="49">
        <f>F649</f>
        <v>0</v>
      </c>
      <c r="G648" s="25">
        <f t="shared" si="24"/>
        <v>200000</v>
      </c>
      <c r="H648" s="38"/>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row>
    <row r="649" spans="1:34" s="44" customFormat="1" ht="31.5">
      <c r="A649" s="31" t="s">
        <v>93</v>
      </c>
      <c r="B649" s="24" t="s">
        <v>467</v>
      </c>
      <c r="C649" s="26" t="s">
        <v>483</v>
      </c>
      <c r="D649" s="26">
        <v>600</v>
      </c>
      <c r="E649" s="49">
        <f>E650</f>
        <v>200000</v>
      </c>
      <c r="F649" s="49">
        <f>F650</f>
        <v>0</v>
      </c>
      <c r="G649" s="25">
        <f t="shared" si="24"/>
        <v>200000</v>
      </c>
      <c r="H649" s="38"/>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row>
    <row r="650" spans="1:34" s="44" customFormat="1" ht="15.75">
      <c r="A650" s="31" t="s">
        <v>94</v>
      </c>
      <c r="B650" s="24" t="s">
        <v>467</v>
      </c>
      <c r="C650" s="26" t="s">
        <v>483</v>
      </c>
      <c r="D650" s="26">
        <v>610</v>
      </c>
      <c r="E650" s="49">
        <v>200000</v>
      </c>
      <c r="F650" s="49">
        <v>0</v>
      </c>
      <c r="G650" s="25">
        <f t="shared" si="24"/>
        <v>200000</v>
      </c>
      <c r="H650" s="38"/>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row>
    <row r="651" spans="1:34" s="44" customFormat="1" ht="31.5">
      <c r="A651" s="61" t="s">
        <v>484</v>
      </c>
      <c r="B651" s="24" t="s">
        <v>467</v>
      </c>
      <c r="C651" s="26" t="s">
        <v>485</v>
      </c>
      <c r="D651" s="26"/>
      <c r="E651" s="27">
        <f>SUM(E652,E655)</f>
        <v>51962000</v>
      </c>
      <c r="F651" s="27">
        <f>SUM(F652,F655)</f>
        <v>0</v>
      </c>
      <c r="G651" s="25">
        <f t="shared" si="24"/>
        <v>51962000</v>
      </c>
      <c r="H651" s="38"/>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row>
    <row r="652" spans="1:34" s="44" customFormat="1" ht="31.5">
      <c r="A652" s="61" t="s">
        <v>486</v>
      </c>
      <c r="B652" s="24" t="s">
        <v>467</v>
      </c>
      <c r="C652" s="26" t="s">
        <v>487</v>
      </c>
      <c r="D652" s="26"/>
      <c r="E652" s="27">
        <f>E653</f>
        <v>50462000</v>
      </c>
      <c r="F652" s="27">
        <f>F653</f>
        <v>-354000</v>
      </c>
      <c r="G652" s="25">
        <f t="shared" si="24"/>
        <v>50108000</v>
      </c>
      <c r="H652" s="38"/>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row>
    <row r="653" spans="1:34" s="44" customFormat="1" ht="31.5">
      <c r="A653" s="31" t="s">
        <v>93</v>
      </c>
      <c r="B653" s="24" t="s">
        <v>467</v>
      </c>
      <c r="C653" s="26" t="s">
        <v>487</v>
      </c>
      <c r="D653" s="26">
        <v>600</v>
      </c>
      <c r="E653" s="27">
        <f>E654</f>
        <v>50462000</v>
      </c>
      <c r="F653" s="27">
        <f>F654</f>
        <v>-354000</v>
      </c>
      <c r="G653" s="25">
        <f t="shared" si="24"/>
        <v>50108000</v>
      </c>
      <c r="H653" s="38"/>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row>
    <row r="654" spans="1:34" s="44" customFormat="1" ht="15.75">
      <c r="A654" s="31" t="s">
        <v>94</v>
      </c>
      <c r="B654" s="24" t="s">
        <v>467</v>
      </c>
      <c r="C654" s="26" t="s">
        <v>487</v>
      </c>
      <c r="D654" s="26">
        <v>610</v>
      </c>
      <c r="E654" s="27">
        <v>50462000</v>
      </c>
      <c r="F654" s="27">
        <v>-354000</v>
      </c>
      <c r="G654" s="25">
        <f t="shared" si="24"/>
        <v>50108000</v>
      </c>
      <c r="H654" s="38"/>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row>
    <row r="655" spans="1:34" s="44" customFormat="1" ht="47.25">
      <c r="A655" s="61" t="s">
        <v>488</v>
      </c>
      <c r="B655" s="24" t="s">
        <v>467</v>
      </c>
      <c r="C655" s="26" t="s">
        <v>489</v>
      </c>
      <c r="D655" s="26"/>
      <c r="E655" s="27">
        <f>E656</f>
        <v>1500000</v>
      </c>
      <c r="F655" s="27">
        <f>F656</f>
        <v>354000</v>
      </c>
      <c r="G655" s="25">
        <f t="shared" si="24"/>
        <v>1854000</v>
      </c>
      <c r="H655" s="38"/>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row>
    <row r="656" spans="1:34" s="44" customFormat="1" ht="31.5">
      <c r="A656" s="31" t="s">
        <v>93</v>
      </c>
      <c r="B656" s="24" t="s">
        <v>467</v>
      </c>
      <c r="C656" s="26" t="s">
        <v>489</v>
      </c>
      <c r="D656" s="26">
        <v>600</v>
      </c>
      <c r="E656" s="27">
        <f>E657</f>
        <v>1500000</v>
      </c>
      <c r="F656" s="27">
        <f>F657</f>
        <v>354000</v>
      </c>
      <c r="G656" s="25">
        <f t="shared" si="24"/>
        <v>1854000</v>
      </c>
      <c r="H656" s="38"/>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row>
    <row r="657" spans="1:34" s="44" customFormat="1" ht="15.75">
      <c r="A657" s="31" t="s">
        <v>94</v>
      </c>
      <c r="B657" s="24" t="s">
        <v>467</v>
      </c>
      <c r="C657" s="26" t="s">
        <v>489</v>
      </c>
      <c r="D657" s="26">
        <v>610</v>
      </c>
      <c r="E657" s="27">
        <v>1500000</v>
      </c>
      <c r="F657" s="27">
        <v>354000</v>
      </c>
      <c r="G657" s="25">
        <f t="shared" si="24"/>
        <v>1854000</v>
      </c>
      <c r="H657" s="38"/>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row>
    <row r="658" spans="1:34" s="44" customFormat="1" ht="31.5">
      <c r="A658" s="61" t="s">
        <v>490</v>
      </c>
      <c r="B658" s="24" t="s">
        <v>467</v>
      </c>
      <c r="C658" s="26" t="s">
        <v>491</v>
      </c>
      <c r="D658" s="26"/>
      <c r="E658" s="27">
        <f>SUM(E659,E662,E665)</f>
        <v>41910151</v>
      </c>
      <c r="F658" s="27">
        <f>SUM(F659,F662,F665)</f>
        <v>0</v>
      </c>
      <c r="G658" s="25">
        <f t="shared" si="24"/>
        <v>41910151</v>
      </c>
      <c r="H658" s="38"/>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row>
    <row r="659" spans="1:34" s="44" customFormat="1" ht="15.75">
      <c r="A659" s="61" t="s">
        <v>492</v>
      </c>
      <c r="B659" s="24" t="s">
        <v>467</v>
      </c>
      <c r="C659" s="26" t="s">
        <v>493</v>
      </c>
      <c r="D659" s="26"/>
      <c r="E659" s="27">
        <f>E660</f>
        <v>25834000</v>
      </c>
      <c r="F659" s="27">
        <f>F660</f>
        <v>0</v>
      </c>
      <c r="G659" s="25">
        <f t="shared" si="24"/>
        <v>25834000</v>
      </c>
      <c r="H659" s="38"/>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row>
    <row r="660" spans="1:34" s="44" customFormat="1" ht="31.5">
      <c r="A660" s="31" t="s">
        <v>93</v>
      </c>
      <c r="B660" s="24" t="s">
        <v>467</v>
      </c>
      <c r="C660" s="26" t="s">
        <v>493</v>
      </c>
      <c r="D660" s="26">
        <v>600</v>
      </c>
      <c r="E660" s="27">
        <f>E661</f>
        <v>25834000</v>
      </c>
      <c r="F660" s="27">
        <f>F661</f>
        <v>0</v>
      </c>
      <c r="G660" s="25">
        <f t="shared" si="24"/>
        <v>25834000</v>
      </c>
      <c r="H660" s="38"/>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row>
    <row r="661" spans="1:34" s="44" customFormat="1" ht="15.75">
      <c r="A661" s="31" t="s">
        <v>94</v>
      </c>
      <c r="B661" s="24" t="s">
        <v>467</v>
      </c>
      <c r="C661" s="26" t="s">
        <v>493</v>
      </c>
      <c r="D661" s="26">
        <v>610</v>
      </c>
      <c r="E661" s="27">
        <v>25834000</v>
      </c>
      <c r="F661" s="27">
        <v>0</v>
      </c>
      <c r="G661" s="25">
        <f t="shared" si="24"/>
        <v>25834000</v>
      </c>
      <c r="H661" s="38"/>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row>
    <row r="662" spans="1:34" s="44" customFormat="1" ht="31.5">
      <c r="A662" s="61" t="s">
        <v>494</v>
      </c>
      <c r="B662" s="24" t="s">
        <v>467</v>
      </c>
      <c r="C662" s="26" t="s">
        <v>495</v>
      </c>
      <c r="D662" s="26"/>
      <c r="E662" s="27">
        <f>E663</f>
        <v>1000000</v>
      </c>
      <c r="F662" s="27">
        <f>F663</f>
        <v>0</v>
      </c>
      <c r="G662" s="25">
        <f t="shared" si="24"/>
        <v>1000000</v>
      </c>
      <c r="H662" s="38"/>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row>
    <row r="663" spans="1:34" s="44" customFormat="1" ht="31.5">
      <c r="A663" s="31" t="s">
        <v>93</v>
      </c>
      <c r="B663" s="24" t="s">
        <v>467</v>
      </c>
      <c r="C663" s="26" t="s">
        <v>495</v>
      </c>
      <c r="D663" s="26">
        <v>600</v>
      </c>
      <c r="E663" s="27">
        <f>E664</f>
        <v>1000000</v>
      </c>
      <c r="F663" s="27">
        <f>F664</f>
        <v>0</v>
      </c>
      <c r="G663" s="25">
        <f t="shared" si="24"/>
        <v>1000000</v>
      </c>
      <c r="H663" s="38"/>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row>
    <row r="664" spans="1:34" s="44" customFormat="1" ht="15.75">
      <c r="A664" s="31" t="s">
        <v>94</v>
      </c>
      <c r="B664" s="24" t="s">
        <v>467</v>
      </c>
      <c r="C664" s="26" t="s">
        <v>495</v>
      </c>
      <c r="D664" s="26">
        <v>610</v>
      </c>
      <c r="E664" s="27">
        <v>1000000</v>
      </c>
      <c r="F664" s="27">
        <v>0</v>
      </c>
      <c r="G664" s="25">
        <f t="shared" si="24"/>
        <v>1000000</v>
      </c>
      <c r="H664" s="38"/>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row>
    <row r="665" spans="1:34" s="44" customFormat="1" ht="126">
      <c r="A665" s="61" t="s">
        <v>496</v>
      </c>
      <c r="B665" s="24" t="s">
        <v>467</v>
      </c>
      <c r="C665" s="26" t="s">
        <v>497</v>
      </c>
      <c r="D665" s="26"/>
      <c r="E665" s="27">
        <f>E666</f>
        <v>15076151</v>
      </c>
      <c r="F665" s="27">
        <f>F666</f>
        <v>0</v>
      </c>
      <c r="G665" s="25">
        <f t="shared" si="24"/>
        <v>15076151</v>
      </c>
      <c r="H665" s="38"/>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row>
    <row r="666" spans="1:34" s="44" customFormat="1" ht="31.5">
      <c r="A666" s="31" t="s">
        <v>93</v>
      </c>
      <c r="B666" s="24" t="s">
        <v>467</v>
      </c>
      <c r="C666" s="26" t="s">
        <v>497</v>
      </c>
      <c r="D666" s="26">
        <v>600</v>
      </c>
      <c r="E666" s="27">
        <f>E667</f>
        <v>15076151</v>
      </c>
      <c r="F666" s="27">
        <f>F667</f>
        <v>0</v>
      </c>
      <c r="G666" s="25">
        <f t="shared" si="24"/>
        <v>15076151</v>
      </c>
      <c r="H666" s="38"/>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row>
    <row r="667" spans="1:34" s="44" customFormat="1" ht="15.75">
      <c r="A667" s="31" t="s">
        <v>94</v>
      </c>
      <c r="B667" s="24" t="s">
        <v>467</v>
      </c>
      <c r="C667" s="26" t="s">
        <v>497</v>
      </c>
      <c r="D667" s="26">
        <v>610</v>
      </c>
      <c r="E667" s="27">
        <v>15076151</v>
      </c>
      <c r="F667" s="27">
        <v>0</v>
      </c>
      <c r="G667" s="25">
        <f t="shared" si="24"/>
        <v>15076151</v>
      </c>
      <c r="H667" s="38"/>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row>
    <row r="668" spans="1:34" s="44" customFormat="1" ht="31.5">
      <c r="A668" s="31" t="s">
        <v>186</v>
      </c>
      <c r="B668" s="24" t="s">
        <v>467</v>
      </c>
      <c r="C668" s="26" t="s">
        <v>187</v>
      </c>
      <c r="D668" s="26"/>
      <c r="E668" s="27">
        <f>E669</f>
        <v>600000</v>
      </c>
      <c r="F668" s="27">
        <f>F669</f>
        <v>0</v>
      </c>
      <c r="G668" s="25">
        <f t="shared" si="24"/>
        <v>600000</v>
      </c>
      <c r="H668" s="38"/>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row>
    <row r="669" spans="1:34" s="44" customFormat="1" ht="15.75">
      <c r="A669" s="30" t="s">
        <v>188</v>
      </c>
      <c r="B669" s="24" t="s">
        <v>467</v>
      </c>
      <c r="C669" s="26" t="s">
        <v>189</v>
      </c>
      <c r="D669" s="26"/>
      <c r="E669" s="27">
        <f>SUM(E670,E674)</f>
        <v>600000</v>
      </c>
      <c r="F669" s="27">
        <f>SUM(F670,F674)</f>
        <v>0</v>
      </c>
      <c r="G669" s="25">
        <f t="shared" si="24"/>
        <v>600000</v>
      </c>
      <c r="H669" s="38"/>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row>
    <row r="670" spans="1:34" s="44" customFormat="1" ht="71.25" customHeight="1">
      <c r="A670" s="31" t="s">
        <v>260</v>
      </c>
      <c r="B670" s="24" t="s">
        <v>467</v>
      </c>
      <c r="C670" s="26" t="s">
        <v>261</v>
      </c>
      <c r="D670" s="26"/>
      <c r="E670" s="27">
        <f>E671</f>
        <v>450000</v>
      </c>
      <c r="F670" s="27">
        <f>F671</f>
        <v>0</v>
      </c>
      <c r="G670" s="25">
        <f t="shared" si="24"/>
        <v>450000</v>
      </c>
      <c r="H670" s="38"/>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row>
    <row r="671" spans="1:34" s="44" customFormat="1" ht="31.5">
      <c r="A671" s="31" t="s">
        <v>93</v>
      </c>
      <c r="B671" s="24" t="s">
        <v>467</v>
      </c>
      <c r="C671" s="26" t="s">
        <v>261</v>
      </c>
      <c r="D671" s="26">
        <v>600</v>
      </c>
      <c r="E671" s="27">
        <f>E672+E673</f>
        <v>450000</v>
      </c>
      <c r="F671" s="27">
        <f>F672+F673</f>
        <v>0</v>
      </c>
      <c r="G671" s="25">
        <f t="shared" si="24"/>
        <v>450000</v>
      </c>
      <c r="H671" s="38"/>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row>
    <row r="672" spans="1:34" s="44" customFormat="1" ht="15.75">
      <c r="A672" s="31" t="s">
        <v>94</v>
      </c>
      <c r="B672" s="24" t="s">
        <v>467</v>
      </c>
      <c r="C672" s="26" t="s">
        <v>261</v>
      </c>
      <c r="D672" s="26">
        <v>610</v>
      </c>
      <c r="E672" s="27">
        <v>450000</v>
      </c>
      <c r="F672" s="27">
        <v>-450000</v>
      </c>
      <c r="G672" s="25">
        <f t="shared" si="24"/>
        <v>0</v>
      </c>
      <c r="H672" s="38"/>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row>
    <row r="673" spans="1:34" s="44" customFormat="1" ht="15.75">
      <c r="A673" s="31" t="s">
        <v>336</v>
      </c>
      <c r="B673" s="24" t="s">
        <v>467</v>
      </c>
      <c r="C673" s="26" t="s">
        <v>261</v>
      </c>
      <c r="D673" s="26">
        <v>620</v>
      </c>
      <c r="E673" s="27">
        <v>0</v>
      </c>
      <c r="F673" s="27">
        <v>450000</v>
      </c>
      <c r="G673" s="25">
        <f t="shared" si="24"/>
        <v>450000</v>
      </c>
      <c r="H673" s="38"/>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row>
    <row r="674" spans="1:34" s="44" customFormat="1" ht="31.5">
      <c r="A674" s="31" t="s">
        <v>498</v>
      </c>
      <c r="B674" s="24" t="s">
        <v>467</v>
      </c>
      <c r="C674" s="26" t="s">
        <v>499</v>
      </c>
      <c r="D674" s="26"/>
      <c r="E674" s="27">
        <f>E675</f>
        <v>150000</v>
      </c>
      <c r="F674" s="27">
        <f>F675</f>
        <v>0</v>
      </c>
      <c r="G674" s="25">
        <f t="shared" si="24"/>
        <v>150000</v>
      </c>
      <c r="H674" s="38"/>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row>
    <row r="675" spans="1:34" s="44" customFormat="1" ht="31.5">
      <c r="A675" s="31" t="s">
        <v>93</v>
      </c>
      <c r="B675" s="24" t="s">
        <v>467</v>
      </c>
      <c r="C675" s="26" t="s">
        <v>499</v>
      </c>
      <c r="D675" s="26">
        <v>600</v>
      </c>
      <c r="E675" s="27">
        <f>E676</f>
        <v>150000</v>
      </c>
      <c r="F675" s="27">
        <f>F676</f>
        <v>0</v>
      </c>
      <c r="G675" s="25">
        <f t="shared" si="24"/>
        <v>150000</v>
      </c>
      <c r="H675" s="38"/>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row>
    <row r="676" spans="1:34" s="44" customFormat="1" ht="15.75">
      <c r="A676" s="31" t="s">
        <v>94</v>
      </c>
      <c r="B676" s="24" t="s">
        <v>467</v>
      </c>
      <c r="C676" s="26" t="s">
        <v>499</v>
      </c>
      <c r="D676" s="26">
        <v>610</v>
      </c>
      <c r="E676" s="27">
        <v>150000</v>
      </c>
      <c r="F676" s="27">
        <v>0</v>
      </c>
      <c r="G676" s="25">
        <f t="shared" si="24"/>
        <v>150000</v>
      </c>
      <c r="H676" s="38"/>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row>
    <row r="677" spans="1:34" s="44" customFormat="1" ht="15.75">
      <c r="A677" s="20" t="s">
        <v>500</v>
      </c>
      <c r="B677" s="21" t="s">
        <v>501</v>
      </c>
      <c r="C677" s="59"/>
      <c r="D677" s="59"/>
      <c r="E677" s="47">
        <f aca="true" t="shared" si="25" ref="E677:F681">E678</f>
        <v>1500000</v>
      </c>
      <c r="F677" s="47">
        <f t="shared" si="25"/>
        <v>0</v>
      </c>
      <c r="G677" s="22">
        <f t="shared" si="24"/>
        <v>1500000</v>
      </c>
      <c r="H677" s="38"/>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row>
    <row r="678" spans="1:34" s="44" customFormat="1" ht="31.5">
      <c r="A678" s="31" t="s">
        <v>417</v>
      </c>
      <c r="B678" s="24" t="s">
        <v>501</v>
      </c>
      <c r="C678" s="26" t="s">
        <v>418</v>
      </c>
      <c r="D678" s="59"/>
      <c r="E678" s="27">
        <f t="shared" si="25"/>
        <v>1500000</v>
      </c>
      <c r="F678" s="27">
        <f t="shared" si="25"/>
        <v>0</v>
      </c>
      <c r="G678" s="25">
        <f t="shared" si="24"/>
        <v>1500000</v>
      </c>
      <c r="H678" s="38"/>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row>
    <row r="679" spans="1:34" s="44" customFormat="1" ht="31.5">
      <c r="A679" s="61" t="s">
        <v>468</v>
      </c>
      <c r="B679" s="24" t="s">
        <v>501</v>
      </c>
      <c r="C679" s="26" t="s">
        <v>469</v>
      </c>
      <c r="D679" s="59"/>
      <c r="E679" s="27">
        <f t="shared" si="25"/>
        <v>1500000</v>
      </c>
      <c r="F679" s="27">
        <f t="shared" si="25"/>
        <v>0</v>
      </c>
      <c r="G679" s="25">
        <f t="shared" si="24"/>
        <v>1500000</v>
      </c>
      <c r="H679" s="38"/>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row>
    <row r="680" spans="1:34" s="44" customFormat="1" ht="15.75">
      <c r="A680" s="61" t="s">
        <v>502</v>
      </c>
      <c r="B680" s="24" t="s">
        <v>501</v>
      </c>
      <c r="C680" s="26" t="s">
        <v>503</v>
      </c>
      <c r="D680" s="26"/>
      <c r="E680" s="27">
        <f t="shared" si="25"/>
        <v>1500000</v>
      </c>
      <c r="F680" s="27">
        <f t="shared" si="25"/>
        <v>0</v>
      </c>
      <c r="G680" s="25">
        <f t="shared" si="24"/>
        <v>1500000</v>
      </c>
      <c r="H680" s="38"/>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row>
    <row r="681" spans="1:34" s="44" customFormat="1" ht="15.75">
      <c r="A681" s="31" t="s">
        <v>24</v>
      </c>
      <c r="B681" s="24" t="s">
        <v>501</v>
      </c>
      <c r="C681" s="26" t="s">
        <v>503</v>
      </c>
      <c r="D681" s="26">
        <v>800</v>
      </c>
      <c r="E681" s="27">
        <f t="shared" si="25"/>
        <v>1500000</v>
      </c>
      <c r="F681" s="27">
        <f t="shared" si="25"/>
        <v>0</v>
      </c>
      <c r="G681" s="25">
        <f t="shared" si="24"/>
        <v>1500000</v>
      </c>
      <c r="H681" s="38"/>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row>
    <row r="682" spans="1:34" s="44" customFormat="1" ht="47.25">
      <c r="A682" s="31" t="s">
        <v>181</v>
      </c>
      <c r="B682" s="24" t="s">
        <v>501</v>
      </c>
      <c r="C682" s="26" t="s">
        <v>503</v>
      </c>
      <c r="D682" s="26">
        <v>810</v>
      </c>
      <c r="E682" s="27">
        <v>1500000</v>
      </c>
      <c r="F682" s="27">
        <v>0</v>
      </c>
      <c r="G682" s="25">
        <f t="shared" si="24"/>
        <v>1500000</v>
      </c>
      <c r="H682" s="38"/>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row>
    <row r="683" spans="1:34" s="44" customFormat="1" ht="15.75">
      <c r="A683" s="20" t="s">
        <v>504</v>
      </c>
      <c r="B683" s="21" t="s">
        <v>505</v>
      </c>
      <c r="C683" s="26"/>
      <c r="D683" s="59"/>
      <c r="E683" s="47">
        <f>E684</f>
        <v>42085000</v>
      </c>
      <c r="F683" s="47">
        <f>F684</f>
        <v>0</v>
      </c>
      <c r="G683" s="22">
        <f t="shared" si="24"/>
        <v>42085000</v>
      </c>
      <c r="H683" s="38"/>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row>
    <row r="684" spans="1:34" s="44" customFormat="1" ht="31.5">
      <c r="A684" s="31" t="s">
        <v>417</v>
      </c>
      <c r="B684" s="24" t="s">
        <v>505</v>
      </c>
      <c r="C684" s="26" t="s">
        <v>418</v>
      </c>
      <c r="D684" s="59"/>
      <c r="E684" s="27">
        <f>E685</f>
        <v>42085000</v>
      </c>
      <c r="F684" s="27">
        <f>F685</f>
        <v>0</v>
      </c>
      <c r="G684" s="25">
        <f t="shared" si="24"/>
        <v>42085000</v>
      </c>
      <c r="H684" s="38"/>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row>
    <row r="685" spans="1:34" s="44" customFormat="1" ht="47.25">
      <c r="A685" s="31" t="s">
        <v>506</v>
      </c>
      <c r="B685" s="24" t="s">
        <v>505</v>
      </c>
      <c r="C685" s="26" t="s">
        <v>507</v>
      </c>
      <c r="D685" s="26"/>
      <c r="E685" s="27">
        <f>SUM(E686,E693)</f>
        <v>42085000</v>
      </c>
      <c r="F685" s="27">
        <f>SUM(F686,F693)</f>
        <v>0</v>
      </c>
      <c r="G685" s="25">
        <f t="shared" si="24"/>
        <v>42085000</v>
      </c>
      <c r="H685" s="38"/>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row>
    <row r="686" spans="1:34" s="44" customFormat="1" ht="31.5">
      <c r="A686" s="31" t="s">
        <v>508</v>
      </c>
      <c r="B686" s="24" t="s">
        <v>505</v>
      </c>
      <c r="C686" s="26" t="s">
        <v>509</v>
      </c>
      <c r="D686" s="26"/>
      <c r="E686" s="49">
        <f>SUM(E687,E689,E691)</f>
        <v>5807000</v>
      </c>
      <c r="F686" s="49">
        <f>SUM(F687,F689,F691)</f>
        <v>0</v>
      </c>
      <c r="G686" s="25">
        <f t="shared" si="24"/>
        <v>5807000</v>
      </c>
      <c r="H686" s="38"/>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row>
    <row r="687" spans="1:34" s="44" customFormat="1" ht="64.5" customHeight="1">
      <c r="A687" s="23" t="s">
        <v>16</v>
      </c>
      <c r="B687" s="24" t="s">
        <v>505</v>
      </c>
      <c r="C687" s="26" t="s">
        <v>509</v>
      </c>
      <c r="D687" s="24" t="s">
        <v>17</v>
      </c>
      <c r="E687" s="27">
        <f>E688</f>
        <v>5454000</v>
      </c>
      <c r="F687" s="27">
        <f>F688</f>
        <v>0</v>
      </c>
      <c r="G687" s="25">
        <f t="shared" si="24"/>
        <v>5454000</v>
      </c>
      <c r="H687" s="38"/>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row>
    <row r="688" spans="1:34" s="44" customFormat="1" ht="31.5">
      <c r="A688" s="23" t="s">
        <v>18</v>
      </c>
      <c r="B688" s="24" t="s">
        <v>505</v>
      </c>
      <c r="C688" s="26" t="s">
        <v>509</v>
      </c>
      <c r="D688" s="24" t="s">
        <v>19</v>
      </c>
      <c r="E688" s="27">
        <v>5454000</v>
      </c>
      <c r="F688" s="27">
        <v>0</v>
      </c>
      <c r="G688" s="25">
        <f t="shared" si="24"/>
        <v>5454000</v>
      </c>
      <c r="H688" s="38"/>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row>
    <row r="689" spans="1:34" s="44" customFormat="1" ht="31.5">
      <c r="A689" s="28" t="s">
        <v>20</v>
      </c>
      <c r="B689" s="24" t="s">
        <v>505</v>
      </c>
      <c r="C689" s="26" t="s">
        <v>509</v>
      </c>
      <c r="D689" s="24" t="s">
        <v>21</v>
      </c>
      <c r="E689" s="27">
        <f>E690</f>
        <v>350000</v>
      </c>
      <c r="F689" s="27">
        <f>F690</f>
        <v>0</v>
      </c>
      <c r="G689" s="25">
        <f t="shared" si="24"/>
        <v>350000</v>
      </c>
      <c r="H689" s="38"/>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row>
    <row r="690" spans="1:34" s="44" customFormat="1" ht="31.5">
      <c r="A690" s="28" t="s">
        <v>22</v>
      </c>
      <c r="B690" s="24" t="s">
        <v>505</v>
      </c>
      <c r="C690" s="26" t="s">
        <v>509</v>
      </c>
      <c r="D690" s="24" t="s">
        <v>23</v>
      </c>
      <c r="E690" s="27">
        <v>350000</v>
      </c>
      <c r="F690" s="27">
        <v>0</v>
      </c>
      <c r="G690" s="25">
        <f t="shared" si="24"/>
        <v>350000</v>
      </c>
      <c r="H690" s="38"/>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row>
    <row r="691" spans="1:34" s="44" customFormat="1" ht="15.75">
      <c r="A691" s="28" t="s">
        <v>24</v>
      </c>
      <c r="B691" s="24" t="s">
        <v>505</v>
      </c>
      <c r="C691" s="26" t="s">
        <v>509</v>
      </c>
      <c r="D691" s="24" t="s">
        <v>25</v>
      </c>
      <c r="E691" s="27">
        <f>E692</f>
        <v>3000</v>
      </c>
      <c r="F691" s="27">
        <f>F692</f>
        <v>0</v>
      </c>
      <c r="G691" s="25">
        <f t="shared" si="24"/>
        <v>3000</v>
      </c>
      <c r="H691" s="38"/>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row>
    <row r="692" spans="1:34" s="44" customFormat="1" ht="15.75">
      <c r="A692" s="28" t="s">
        <v>26</v>
      </c>
      <c r="B692" s="24" t="s">
        <v>505</v>
      </c>
      <c r="C692" s="26" t="s">
        <v>509</v>
      </c>
      <c r="D692" s="24" t="s">
        <v>27</v>
      </c>
      <c r="E692" s="27">
        <v>3000</v>
      </c>
      <c r="F692" s="27">
        <v>0</v>
      </c>
      <c r="G692" s="25">
        <f t="shared" si="24"/>
        <v>3000</v>
      </c>
      <c r="H692" s="38"/>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row>
    <row r="693" spans="1:34" s="44" customFormat="1" ht="31.5">
      <c r="A693" s="31" t="s">
        <v>510</v>
      </c>
      <c r="B693" s="24" t="s">
        <v>505</v>
      </c>
      <c r="C693" s="26" t="s">
        <v>511</v>
      </c>
      <c r="D693" s="26"/>
      <c r="E693" s="27">
        <f>SUM(E694,E696,E698)</f>
        <v>36278000</v>
      </c>
      <c r="F693" s="27">
        <f>SUM(F694,F696,F698)</f>
        <v>0</v>
      </c>
      <c r="G693" s="25">
        <f t="shared" si="24"/>
        <v>36278000</v>
      </c>
      <c r="H693" s="38"/>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row>
    <row r="694" spans="1:34" s="44" customFormat="1" ht="69" customHeight="1">
      <c r="A694" s="23" t="s">
        <v>16</v>
      </c>
      <c r="B694" s="24" t="s">
        <v>505</v>
      </c>
      <c r="C694" s="26" t="s">
        <v>511</v>
      </c>
      <c r="D694" s="26">
        <v>100</v>
      </c>
      <c r="E694" s="27">
        <f>E695</f>
        <v>35025000</v>
      </c>
      <c r="F694" s="27">
        <f>F695</f>
        <v>0</v>
      </c>
      <c r="G694" s="25">
        <f t="shared" si="24"/>
        <v>35025000</v>
      </c>
      <c r="H694" s="38"/>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row>
    <row r="695" spans="1:34" s="44" customFormat="1" ht="15.75">
      <c r="A695" s="23" t="s">
        <v>86</v>
      </c>
      <c r="B695" s="24" t="s">
        <v>505</v>
      </c>
      <c r="C695" s="26" t="s">
        <v>511</v>
      </c>
      <c r="D695" s="26">
        <v>110</v>
      </c>
      <c r="E695" s="27">
        <v>35025000</v>
      </c>
      <c r="F695" s="27">
        <v>0</v>
      </c>
      <c r="G695" s="25">
        <f t="shared" si="24"/>
        <v>35025000</v>
      </c>
      <c r="H695" s="38"/>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row>
    <row r="696" spans="1:34" s="44" customFormat="1" ht="31.5">
      <c r="A696" s="28" t="s">
        <v>20</v>
      </c>
      <c r="B696" s="24" t="s">
        <v>505</v>
      </c>
      <c r="C696" s="26" t="s">
        <v>511</v>
      </c>
      <c r="D696" s="26">
        <v>200</v>
      </c>
      <c r="E696" s="27">
        <f>E697</f>
        <v>1250000</v>
      </c>
      <c r="F696" s="27">
        <f>F697</f>
        <v>0</v>
      </c>
      <c r="G696" s="25">
        <f t="shared" si="24"/>
        <v>1250000</v>
      </c>
      <c r="H696" s="38"/>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row>
    <row r="697" spans="1:34" s="44" customFormat="1" ht="31.5">
      <c r="A697" s="28" t="s">
        <v>22</v>
      </c>
      <c r="B697" s="24" t="s">
        <v>505</v>
      </c>
      <c r="C697" s="26" t="s">
        <v>511</v>
      </c>
      <c r="D697" s="26">
        <v>240</v>
      </c>
      <c r="E697" s="27">
        <v>1250000</v>
      </c>
      <c r="F697" s="27">
        <v>0</v>
      </c>
      <c r="G697" s="25">
        <f t="shared" si="24"/>
        <v>1250000</v>
      </c>
      <c r="H697" s="38"/>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row>
    <row r="698" spans="1:34" s="44" customFormat="1" ht="15.75">
      <c r="A698" s="28" t="s">
        <v>24</v>
      </c>
      <c r="B698" s="24" t="s">
        <v>505</v>
      </c>
      <c r="C698" s="26" t="s">
        <v>511</v>
      </c>
      <c r="D698" s="24" t="s">
        <v>25</v>
      </c>
      <c r="E698" s="27">
        <f>E699</f>
        <v>3000</v>
      </c>
      <c r="F698" s="27">
        <f>F699</f>
        <v>0</v>
      </c>
      <c r="G698" s="25">
        <f t="shared" si="24"/>
        <v>3000</v>
      </c>
      <c r="H698" s="38"/>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row>
    <row r="699" spans="1:34" s="44" customFormat="1" ht="15.75">
      <c r="A699" s="28" t="s">
        <v>26</v>
      </c>
      <c r="B699" s="24" t="s">
        <v>505</v>
      </c>
      <c r="C699" s="26" t="s">
        <v>511</v>
      </c>
      <c r="D699" s="24" t="s">
        <v>27</v>
      </c>
      <c r="E699" s="27">
        <v>3000</v>
      </c>
      <c r="F699" s="27">
        <v>0</v>
      </c>
      <c r="G699" s="25">
        <f t="shared" si="24"/>
        <v>3000</v>
      </c>
      <c r="H699" s="38"/>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row>
    <row r="700" spans="1:34" s="3" customFormat="1" ht="15.75">
      <c r="A700" s="17" t="s">
        <v>512</v>
      </c>
      <c r="B700" s="18" t="s">
        <v>513</v>
      </c>
      <c r="C700" s="83"/>
      <c r="D700" s="83"/>
      <c r="E700" s="66">
        <f>SUM(E701,E709,E719,E800,E842)</f>
        <v>1080118398.1399999</v>
      </c>
      <c r="F700" s="66">
        <f>SUM(F701,F709,F719,F800,F842)</f>
        <v>4883260.8100000005</v>
      </c>
      <c r="G700" s="19">
        <f t="shared" si="24"/>
        <v>1085001658.9499998</v>
      </c>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row>
    <row r="701" spans="1:34" s="3" customFormat="1" ht="15.75">
      <c r="A701" s="20" t="s">
        <v>514</v>
      </c>
      <c r="B701" s="21" t="s">
        <v>515</v>
      </c>
      <c r="C701" s="26"/>
      <c r="D701" s="59"/>
      <c r="E701" s="47">
        <f aca="true" t="shared" si="26" ref="E701:F703">E702</f>
        <v>9500000</v>
      </c>
      <c r="F701" s="47">
        <f t="shared" si="26"/>
        <v>0</v>
      </c>
      <c r="G701" s="22">
        <f t="shared" si="24"/>
        <v>9500000</v>
      </c>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row>
    <row r="702" spans="1:34" s="3" customFormat="1" ht="31.5">
      <c r="A702" s="31" t="s">
        <v>186</v>
      </c>
      <c r="B702" s="24" t="s">
        <v>515</v>
      </c>
      <c r="C702" s="26" t="s">
        <v>187</v>
      </c>
      <c r="D702" s="26"/>
      <c r="E702" s="27">
        <f t="shared" si="26"/>
        <v>9500000</v>
      </c>
      <c r="F702" s="27">
        <f t="shared" si="26"/>
        <v>0</v>
      </c>
      <c r="G702" s="25">
        <f t="shared" si="24"/>
        <v>9500000</v>
      </c>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row>
    <row r="703" spans="1:34" s="3" customFormat="1" ht="47.25">
      <c r="A703" s="31" t="s">
        <v>516</v>
      </c>
      <c r="B703" s="24" t="s">
        <v>515</v>
      </c>
      <c r="C703" s="26" t="s">
        <v>517</v>
      </c>
      <c r="D703" s="26"/>
      <c r="E703" s="27">
        <f t="shared" si="26"/>
        <v>9500000</v>
      </c>
      <c r="F703" s="27">
        <f t="shared" si="26"/>
        <v>0</v>
      </c>
      <c r="G703" s="25">
        <f t="shared" si="24"/>
        <v>9500000</v>
      </c>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row>
    <row r="704" spans="1:34" s="3" customFormat="1" ht="47.25">
      <c r="A704" s="31" t="s">
        <v>518</v>
      </c>
      <c r="B704" s="24" t="s">
        <v>515</v>
      </c>
      <c r="C704" s="26" t="s">
        <v>519</v>
      </c>
      <c r="D704" s="26"/>
      <c r="E704" s="27">
        <f>E707+E705</f>
        <v>9500000</v>
      </c>
      <c r="F704" s="27">
        <f>F707+F705</f>
        <v>0</v>
      </c>
      <c r="G704" s="25">
        <f t="shared" si="24"/>
        <v>9500000</v>
      </c>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row>
    <row r="705" spans="1:34" s="3" customFormat="1" ht="31.5">
      <c r="A705" s="28" t="s">
        <v>20</v>
      </c>
      <c r="B705" s="24" t="s">
        <v>515</v>
      </c>
      <c r="C705" s="26" t="s">
        <v>519</v>
      </c>
      <c r="D705" s="26">
        <v>200</v>
      </c>
      <c r="E705" s="27">
        <f>E706</f>
        <v>94000</v>
      </c>
      <c r="F705" s="27">
        <f>F706</f>
        <v>0</v>
      </c>
      <c r="G705" s="25">
        <f t="shared" si="24"/>
        <v>94000</v>
      </c>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row>
    <row r="706" spans="1:34" s="3" customFormat="1" ht="31.5">
      <c r="A706" s="28" t="s">
        <v>22</v>
      </c>
      <c r="B706" s="24" t="s">
        <v>515</v>
      </c>
      <c r="C706" s="26" t="s">
        <v>519</v>
      </c>
      <c r="D706" s="26">
        <v>240</v>
      </c>
      <c r="E706" s="27">
        <v>94000</v>
      </c>
      <c r="F706" s="27">
        <v>0</v>
      </c>
      <c r="G706" s="25">
        <f t="shared" si="24"/>
        <v>94000</v>
      </c>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row>
    <row r="707" spans="1:34" s="3" customFormat="1" ht="15.75">
      <c r="A707" s="31" t="s">
        <v>156</v>
      </c>
      <c r="B707" s="24" t="s">
        <v>515</v>
      </c>
      <c r="C707" s="26" t="s">
        <v>519</v>
      </c>
      <c r="D707" s="26">
        <v>300</v>
      </c>
      <c r="E707" s="27">
        <f>E708</f>
        <v>9406000</v>
      </c>
      <c r="F707" s="27">
        <f>F708</f>
        <v>0</v>
      </c>
      <c r="G707" s="25">
        <f t="shared" si="24"/>
        <v>9406000</v>
      </c>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row>
    <row r="708" spans="1:34" s="3" customFormat="1" ht="15.75">
      <c r="A708" s="31" t="s">
        <v>520</v>
      </c>
      <c r="B708" s="24" t="s">
        <v>515</v>
      </c>
      <c r="C708" s="26" t="s">
        <v>519</v>
      </c>
      <c r="D708" s="26">
        <v>310</v>
      </c>
      <c r="E708" s="27">
        <v>9406000</v>
      </c>
      <c r="F708" s="27">
        <v>0</v>
      </c>
      <c r="G708" s="25">
        <f t="shared" si="24"/>
        <v>9406000</v>
      </c>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row>
    <row r="709" spans="1:34" s="3" customFormat="1" ht="15.75">
      <c r="A709" s="91" t="s">
        <v>521</v>
      </c>
      <c r="B709" s="21" t="s">
        <v>522</v>
      </c>
      <c r="C709" s="46"/>
      <c r="D709" s="46"/>
      <c r="E709" s="47">
        <f>E710</f>
        <v>64783945</v>
      </c>
      <c r="F709" s="47">
        <f>F710</f>
        <v>0</v>
      </c>
      <c r="G709" s="22">
        <f t="shared" si="24"/>
        <v>64783945</v>
      </c>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row>
    <row r="710" spans="1:34" s="3" customFormat="1" ht="15.75">
      <c r="A710" s="30" t="s">
        <v>30</v>
      </c>
      <c r="B710" s="24" t="s">
        <v>522</v>
      </c>
      <c r="C710" s="26" t="s">
        <v>31</v>
      </c>
      <c r="D710" s="24"/>
      <c r="E710" s="27">
        <f>E711+E715</f>
        <v>64783945</v>
      </c>
      <c r="F710" s="27">
        <f>F711+F715</f>
        <v>0</v>
      </c>
      <c r="G710" s="25">
        <f t="shared" si="24"/>
        <v>64783945</v>
      </c>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row>
    <row r="711" spans="1:34" s="3" customFormat="1" ht="47.25">
      <c r="A711" s="31" t="s">
        <v>46</v>
      </c>
      <c r="B711" s="24" t="s">
        <v>522</v>
      </c>
      <c r="C711" s="26" t="s">
        <v>47</v>
      </c>
      <c r="D711" s="24"/>
      <c r="E711" s="27">
        <f aca="true" t="shared" si="27" ref="E711:F713">E712</f>
        <v>59683945</v>
      </c>
      <c r="F711" s="27">
        <f t="shared" si="27"/>
        <v>0</v>
      </c>
      <c r="G711" s="25">
        <f aca="true" t="shared" si="28" ref="G711:G774">SUM(E711:F711)</f>
        <v>59683945</v>
      </c>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row>
    <row r="712" spans="1:34" s="3" customFormat="1" ht="47.25">
      <c r="A712" s="48" t="s">
        <v>523</v>
      </c>
      <c r="B712" s="33" t="s">
        <v>522</v>
      </c>
      <c r="C712" s="36" t="s">
        <v>524</v>
      </c>
      <c r="D712" s="33"/>
      <c r="E712" s="37">
        <f t="shared" si="27"/>
        <v>59683945</v>
      </c>
      <c r="F712" s="37">
        <f t="shared" si="27"/>
        <v>0</v>
      </c>
      <c r="G712" s="25">
        <f t="shared" si="28"/>
        <v>59683945</v>
      </c>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row>
    <row r="713" spans="1:34" s="3" customFormat="1" ht="31.5">
      <c r="A713" s="48" t="s">
        <v>93</v>
      </c>
      <c r="B713" s="33" t="s">
        <v>522</v>
      </c>
      <c r="C713" s="36" t="s">
        <v>524</v>
      </c>
      <c r="D713" s="33" t="s">
        <v>134</v>
      </c>
      <c r="E713" s="37">
        <f t="shared" si="27"/>
        <v>59683945</v>
      </c>
      <c r="F713" s="37">
        <f t="shared" si="27"/>
        <v>0</v>
      </c>
      <c r="G713" s="25">
        <f t="shared" si="28"/>
        <v>59683945</v>
      </c>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row>
    <row r="714" spans="1:34" s="3" customFormat="1" ht="15.75">
      <c r="A714" s="48" t="s">
        <v>94</v>
      </c>
      <c r="B714" s="33" t="s">
        <v>522</v>
      </c>
      <c r="C714" s="36" t="s">
        <v>524</v>
      </c>
      <c r="D714" s="33" t="s">
        <v>135</v>
      </c>
      <c r="E714" s="37">
        <v>59683945</v>
      </c>
      <c r="F714" s="37">
        <v>0</v>
      </c>
      <c r="G714" s="25">
        <f t="shared" si="28"/>
        <v>59683945</v>
      </c>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row>
    <row r="715" spans="1:34" s="3" customFormat="1" ht="15.75">
      <c r="A715" s="31" t="s">
        <v>142</v>
      </c>
      <c r="B715" s="24" t="s">
        <v>522</v>
      </c>
      <c r="C715" s="26" t="s">
        <v>143</v>
      </c>
      <c r="D715" s="26"/>
      <c r="E715" s="27">
        <f aca="true" t="shared" si="29" ref="E715:F717">E716</f>
        <v>5100000</v>
      </c>
      <c r="F715" s="27">
        <f t="shared" si="29"/>
        <v>0</v>
      </c>
      <c r="G715" s="25">
        <f t="shared" si="28"/>
        <v>5100000</v>
      </c>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row>
    <row r="716" spans="1:34" s="3" customFormat="1" ht="47.25">
      <c r="A716" s="31" t="s">
        <v>144</v>
      </c>
      <c r="B716" s="24" t="s">
        <v>522</v>
      </c>
      <c r="C716" s="26" t="s">
        <v>145</v>
      </c>
      <c r="D716" s="26"/>
      <c r="E716" s="27">
        <f t="shared" si="29"/>
        <v>5100000</v>
      </c>
      <c r="F716" s="27">
        <f t="shared" si="29"/>
        <v>0</v>
      </c>
      <c r="G716" s="25">
        <f t="shared" si="28"/>
        <v>5100000</v>
      </c>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row>
    <row r="717" spans="1:34" s="3" customFormat="1" ht="31.5">
      <c r="A717" s="31" t="s">
        <v>93</v>
      </c>
      <c r="B717" s="24" t="s">
        <v>522</v>
      </c>
      <c r="C717" s="26" t="s">
        <v>145</v>
      </c>
      <c r="D717" s="24" t="s">
        <v>134</v>
      </c>
      <c r="E717" s="27">
        <f t="shared" si="29"/>
        <v>5100000</v>
      </c>
      <c r="F717" s="27">
        <f t="shared" si="29"/>
        <v>0</v>
      </c>
      <c r="G717" s="25">
        <f t="shared" si="28"/>
        <v>5100000</v>
      </c>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row>
    <row r="718" spans="1:34" s="3" customFormat="1" ht="15.75">
      <c r="A718" s="31" t="s">
        <v>94</v>
      </c>
      <c r="B718" s="24" t="s">
        <v>522</v>
      </c>
      <c r="C718" s="26" t="s">
        <v>145</v>
      </c>
      <c r="D718" s="24" t="s">
        <v>135</v>
      </c>
      <c r="E718" s="27">
        <v>5100000</v>
      </c>
      <c r="F718" s="27">
        <v>0</v>
      </c>
      <c r="G718" s="25">
        <f t="shared" si="28"/>
        <v>5100000</v>
      </c>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row>
    <row r="719" spans="1:34" s="3" customFormat="1" ht="15.75">
      <c r="A719" s="96" t="s">
        <v>525</v>
      </c>
      <c r="B719" s="21">
        <v>1003</v>
      </c>
      <c r="C719" s="26"/>
      <c r="D719" s="59"/>
      <c r="E719" s="47">
        <f>E720</f>
        <v>486050269</v>
      </c>
      <c r="F719" s="47">
        <f>F720</f>
        <v>507231</v>
      </c>
      <c r="G719" s="22">
        <f t="shared" si="28"/>
        <v>486557500</v>
      </c>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row>
    <row r="720" spans="1:34" s="3" customFormat="1" ht="31.5">
      <c r="A720" s="31" t="s">
        <v>186</v>
      </c>
      <c r="B720" s="24" t="s">
        <v>526</v>
      </c>
      <c r="C720" s="26" t="s">
        <v>187</v>
      </c>
      <c r="D720" s="26"/>
      <c r="E720" s="27">
        <f>SUM(E721,E781,E794)</f>
        <v>486050269</v>
      </c>
      <c r="F720" s="27">
        <f>SUM(F721,F781,F794)</f>
        <v>507231</v>
      </c>
      <c r="G720" s="25">
        <f t="shared" si="28"/>
        <v>486557500</v>
      </c>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row>
    <row r="721" spans="1:34" s="3" customFormat="1" ht="47.25">
      <c r="A721" s="31" t="s">
        <v>516</v>
      </c>
      <c r="B721" s="24" t="s">
        <v>526</v>
      </c>
      <c r="C721" s="26" t="s">
        <v>517</v>
      </c>
      <c r="D721" s="26"/>
      <c r="E721" s="49">
        <f>SUM(E722,E727,E732,E737,E743,E748,E753,E758,E763,E768,E773,E778)</f>
        <v>471520269</v>
      </c>
      <c r="F721" s="49">
        <f>SUM(F722,F727,F732,F737,F743,F748,F753,F758,F763,F768,F773,F778)</f>
        <v>207231</v>
      </c>
      <c r="G721" s="25">
        <f t="shared" si="28"/>
        <v>471727500</v>
      </c>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row>
    <row r="722" spans="1:34" s="3" customFormat="1" ht="31.5">
      <c r="A722" s="48" t="s">
        <v>527</v>
      </c>
      <c r="B722" s="33" t="s">
        <v>526</v>
      </c>
      <c r="C722" s="36" t="s">
        <v>528</v>
      </c>
      <c r="D722" s="36"/>
      <c r="E722" s="40">
        <f>E725+E723</f>
        <v>128115214</v>
      </c>
      <c r="F722" s="40">
        <f>F725+F723</f>
        <v>0</v>
      </c>
      <c r="G722" s="25">
        <f t="shared" si="28"/>
        <v>128115214</v>
      </c>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row>
    <row r="723" spans="1:34" s="3" customFormat="1" ht="31.5">
      <c r="A723" s="35" t="s">
        <v>20</v>
      </c>
      <c r="B723" s="33" t="s">
        <v>526</v>
      </c>
      <c r="C723" s="36" t="s">
        <v>528</v>
      </c>
      <c r="D723" s="36">
        <v>200</v>
      </c>
      <c r="E723" s="40">
        <f>E724</f>
        <v>1345210</v>
      </c>
      <c r="F723" s="40">
        <f>F724</f>
        <v>0</v>
      </c>
      <c r="G723" s="25">
        <f t="shared" si="28"/>
        <v>1345210</v>
      </c>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row>
    <row r="724" spans="1:34" s="3" customFormat="1" ht="31.5">
      <c r="A724" s="48" t="s">
        <v>22</v>
      </c>
      <c r="B724" s="33" t="s">
        <v>526</v>
      </c>
      <c r="C724" s="36" t="s">
        <v>528</v>
      </c>
      <c r="D724" s="36">
        <v>240</v>
      </c>
      <c r="E724" s="40">
        <v>1345210</v>
      </c>
      <c r="F724" s="40">
        <v>0</v>
      </c>
      <c r="G724" s="25">
        <f t="shared" si="28"/>
        <v>1345210</v>
      </c>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row>
    <row r="725" spans="1:34" s="3" customFormat="1" ht="15.75">
      <c r="A725" s="48" t="s">
        <v>156</v>
      </c>
      <c r="B725" s="33" t="s">
        <v>526</v>
      </c>
      <c r="C725" s="36" t="s">
        <v>528</v>
      </c>
      <c r="D725" s="36">
        <v>300</v>
      </c>
      <c r="E725" s="40">
        <f>E726</f>
        <v>126770004</v>
      </c>
      <c r="F725" s="40">
        <f>F726</f>
        <v>0</v>
      </c>
      <c r="G725" s="25">
        <f t="shared" si="28"/>
        <v>126770004</v>
      </c>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row>
    <row r="726" spans="1:34" s="3" customFormat="1" ht="15.75">
      <c r="A726" s="48" t="s">
        <v>520</v>
      </c>
      <c r="B726" s="33" t="s">
        <v>526</v>
      </c>
      <c r="C726" s="36" t="s">
        <v>528</v>
      </c>
      <c r="D726" s="36">
        <v>310</v>
      </c>
      <c r="E726" s="40">
        <v>126770004</v>
      </c>
      <c r="F726" s="40">
        <v>0</v>
      </c>
      <c r="G726" s="25">
        <f t="shared" si="28"/>
        <v>126770004</v>
      </c>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row>
    <row r="727" spans="1:34" s="3" customFormat="1" ht="47.25">
      <c r="A727" s="48" t="s">
        <v>529</v>
      </c>
      <c r="B727" s="33" t="s">
        <v>526</v>
      </c>
      <c r="C727" s="36" t="s">
        <v>530</v>
      </c>
      <c r="D727" s="36"/>
      <c r="E727" s="40">
        <f>E730+E728</f>
        <v>8445141</v>
      </c>
      <c r="F727" s="40">
        <f>F730+F728</f>
        <v>207231</v>
      </c>
      <c r="G727" s="25">
        <f t="shared" si="28"/>
        <v>8652372</v>
      </c>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row>
    <row r="728" spans="1:34" s="3" customFormat="1" ht="31.5">
      <c r="A728" s="35" t="s">
        <v>20</v>
      </c>
      <c r="B728" s="33" t="s">
        <v>526</v>
      </c>
      <c r="C728" s="36" t="s">
        <v>530</v>
      </c>
      <c r="D728" s="36">
        <v>200</v>
      </c>
      <c r="E728" s="40">
        <f>E729</f>
        <v>84452</v>
      </c>
      <c r="F728" s="40">
        <f>F729</f>
        <v>856.18</v>
      </c>
      <c r="G728" s="25">
        <f t="shared" si="28"/>
        <v>85308.18</v>
      </c>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row>
    <row r="729" spans="1:34" s="3" customFormat="1" ht="31.5">
      <c r="A729" s="48" t="s">
        <v>22</v>
      </c>
      <c r="B729" s="33" t="s">
        <v>526</v>
      </c>
      <c r="C729" s="36" t="s">
        <v>530</v>
      </c>
      <c r="D729" s="36">
        <v>240</v>
      </c>
      <c r="E729" s="40">
        <v>84452</v>
      </c>
      <c r="F729" s="40">
        <v>856.18</v>
      </c>
      <c r="G729" s="25">
        <f t="shared" si="28"/>
        <v>85308.18</v>
      </c>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row>
    <row r="730" spans="1:34" s="3" customFormat="1" ht="15.75">
      <c r="A730" s="48" t="s">
        <v>156</v>
      </c>
      <c r="B730" s="33" t="s">
        <v>526</v>
      </c>
      <c r="C730" s="36" t="s">
        <v>530</v>
      </c>
      <c r="D730" s="36">
        <v>300</v>
      </c>
      <c r="E730" s="40">
        <f>E731</f>
        <v>8360689</v>
      </c>
      <c r="F730" s="40">
        <f>F731</f>
        <v>206374.82</v>
      </c>
      <c r="G730" s="25">
        <f t="shared" si="28"/>
        <v>8567063.82</v>
      </c>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row>
    <row r="731" spans="1:34" s="3" customFormat="1" ht="15.75">
      <c r="A731" s="48" t="s">
        <v>520</v>
      </c>
      <c r="B731" s="33" t="s">
        <v>526</v>
      </c>
      <c r="C731" s="36" t="s">
        <v>530</v>
      </c>
      <c r="D731" s="36">
        <v>310</v>
      </c>
      <c r="E731" s="40">
        <v>8360689</v>
      </c>
      <c r="F731" s="40">
        <v>206374.82</v>
      </c>
      <c r="G731" s="25">
        <f t="shared" si="28"/>
        <v>8567063.82</v>
      </c>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row>
    <row r="732" spans="1:34" s="3" customFormat="1" ht="31.5">
      <c r="A732" s="48" t="s">
        <v>531</v>
      </c>
      <c r="B732" s="33" t="s">
        <v>526</v>
      </c>
      <c r="C732" s="36" t="s">
        <v>532</v>
      </c>
      <c r="D732" s="36"/>
      <c r="E732" s="40">
        <f>E735+E733</f>
        <v>28179832</v>
      </c>
      <c r="F732" s="40">
        <f>F735+F733</f>
        <v>0</v>
      </c>
      <c r="G732" s="25">
        <f t="shared" si="28"/>
        <v>28179832</v>
      </c>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row>
    <row r="733" spans="1:34" s="3" customFormat="1" ht="31.5">
      <c r="A733" s="35" t="s">
        <v>20</v>
      </c>
      <c r="B733" s="33" t="s">
        <v>526</v>
      </c>
      <c r="C733" s="36" t="s">
        <v>532</v>
      </c>
      <c r="D733" s="36">
        <v>200</v>
      </c>
      <c r="E733" s="40">
        <f>E734</f>
        <v>284617</v>
      </c>
      <c r="F733" s="40">
        <f>F734</f>
        <v>0</v>
      </c>
      <c r="G733" s="25">
        <f t="shared" si="28"/>
        <v>284617</v>
      </c>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row>
    <row r="734" spans="1:34" s="3" customFormat="1" ht="31.5">
      <c r="A734" s="48" t="s">
        <v>22</v>
      </c>
      <c r="B734" s="33" t="s">
        <v>526</v>
      </c>
      <c r="C734" s="36" t="s">
        <v>532</v>
      </c>
      <c r="D734" s="36">
        <v>240</v>
      </c>
      <c r="E734" s="40">
        <v>284617</v>
      </c>
      <c r="F734" s="40">
        <v>0</v>
      </c>
      <c r="G734" s="25">
        <f t="shared" si="28"/>
        <v>284617</v>
      </c>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row>
    <row r="735" spans="1:34" s="3" customFormat="1" ht="15.75">
      <c r="A735" s="48" t="s">
        <v>156</v>
      </c>
      <c r="B735" s="33" t="s">
        <v>526</v>
      </c>
      <c r="C735" s="36" t="s">
        <v>532</v>
      </c>
      <c r="D735" s="36">
        <v>300</v>
      </c>
      <c r="E735" s="40">
        <f>E736</f>
        <v>27895215</v>
      </c>
      <c r="F735" s="40">
        <f>F736</f>
        <v>0</v>
      </c>
      <c r="G735" s="25">
        <f t="shared" si="28"/>
        <v>27895215</v>
      </c>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row>
    <row r="736" spans="1:34" s="3" customFormat="1" ht="15.75">
      <c r="A736" s="48" t="s">
        <v>520</v>
      </c>
      <c r="B736" s="33" t="s">
        <v>526</v>
      </c>
      <c r="C736" s="36" t="s">
        <v>532</v>
      </c>
      <c r="D736" s="36">
        <v>310</v>
      </c>
      <c r="E736" s="40">
        <v>27895215</v>
      </c>
      <c r="F736" s="40">
        <v>0</v>
      </c>
      <c r="G736" s="25">
        <f t="shared" si="28"/>
        <v>27895215</v>
      </c>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row>
    <row r="737" spans="1:34" s="3" customFormat="1" ht="47.25">
      <c r="A737" s="48" t="s">
        <v>533</v>
      </c>
      <c r="B737" s="33" t="s">
        <v>526</v>
      </c>
      <c r="C737" s="36" t="s">
        <v>534</v>
      </c>
      <c r="D737" s="36"/>
      <c r="E737" s="40">
        <f>E740+E738</f>
        <v>280132180</v>
      </c>
      <c r="F737" s="40">
        <f>F740+F738</f>
        <v>0</v>
      </c>
      <c r="G737" s="25">
        <f t="shared" si="28"/>
        <v>280132180</v>
      </c>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row>
    <row r="738" spans="1:34" s="3" customFormat="1" ht="31.5">
      <c r="A738" s="35" t="s">
        <v>20</v>
      </c>
      <c r="B738" s="33" t="s">
        <v>526</v>
      </c>
      <c r="C738" s="36" t="s">
        <v>534</v>
      </c>
      <c r="D738" s="36">
        <v>200</v>
      </c>
      <c r="E738" s="40">
        <f>E739</f>
        <v>3501653</v>
      </c>
      <c r="F738" s="40">
        <f>F739</f>
        <v>0</v>
      </c>
      <c r="G738" s="25">
        <f t="shared" si="28"/>
        <v>3501653</v>
      </c>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row>
    <row r="739" spans="1:34" s="3" customFormat="1" ht="31.5">
      <c r="A739" s="48" t="s">
        <v>22</v>
      </c>
      <c r="B739" s="33" t="s">
        <v>526</v>
      </c>
      <c r="C739" s="36" t="s">
        <v>534</v>
      </c>
      <c r="D739" s="36">
        <v>240</v>
      </c>
      <c r="E739" s="40">
        <v>3501653</v>
      </c>
      <c r="F739" s="40">
        <v>0</v>
      </c>
      <c r="G739" s="25">
        <f t="shared" si="28"/>
        <v>3501653</v>
      </c>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row>
    <row r="740" spans="1:34" s="3" customFormat="1" ht="15.75">
      <c r="A740" s="48" t="s">
        <v>156</v>
      </c>
      <c r="B740" s="33" t="s">
        <v>526</v>
      </c>
      <c r="C740" s="36" t="s">
        <v>534</v>
      </c>
      <c r="D740" s="36">
        <v>300</v>
      </c>
      <c r="E740" s="40">
        <f>SUM(E741:E742)</f>
        <v>276630527</v>
      </c>
      <c r="F740" s="40">
        <f>SUM(F741:F742)</f>
        <v>0</v>
      </c>
      <c r="G740" s="25">
        <f t="shared" si="28"/>
        <v>276630527</v>
      </c>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row>
    <row r="741" spans="1:34" s="3" customFormat="1" ht="15.75">
      <c r="A741" s="48" t="s">
        <v>520</v>
      </c>
      <c r="B741" s="33" t="s">
        <v>526</v>
      </c>
      <c r="C741" s="36" t="s">
        <v>534</v>
      </c>
      <c r="D741" s="36">
        <v>310</v>
      </c>
      <c r="E741" s="40">
        <v>240821160</v>
      </c>
      <c r="F741" s="40">
        <v>0</v>
      </c>
      <c r="G741" s="25">
        <f t="shared" si="28"/>
        <v>240821160</v>
      </c>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row>
    <row r="742" spans="1:34" s="3" customFormat="1" ht="31.5">
      <c r="A742" s="48" t="s">
        <v>157</v>
      </c>
      <c r="B742" s="33" t="s">
        <v>526</v>
      </c>
      <c r="C742" s="36" t="s">
        <v>534</v>
      </c>
      <c r="D742" s="36">
        <v>320</v>
      </c>
      <c r="E742" s="40">
        <v>35809367</v>
      </c>
      <c r="F742" s="40">
        <v>0</v>
      </c>
      <c r="G742" s="25">
        <f t="shared" si="28"/>
        <v>35809367</v>
      </c>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row>
    <row r="743" spans="1:34" s="3" customFormat="1" ht="47.25">
      <c r="A743" s="48" t="s">
        <v>535</v>
      </c>
      <c r="B743" s="33" t="s">
        <v>526</v>
      </c>
      <c r="C743" s="36" t="s">
        <v>536</v>
      </c>
      <c r="D743" s="36"/>
      <c r="E743" s="40">
        <f>E746+E744</f>
        <v>49261</v>
      </c>
      <c r="F743" s="40">
        <f>F746+F744</f>
        <v>0</v>
      </c>
      <c r="G743" s="25">
        <f t="shared" si="28"/>
        <v>49261</v>
      </c>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row>
    <row r="744" spans="1:34" s="3" customFormat="1" ht="31.5">
      <c r="A744" s="35" t="s">
        <v>20</v>
      </c>
      <c r="B744" s="33" t="s">
        <v>526</v>
      </c>
      <c r="C744" s="36" t="s">
        <v>536</v>
      </c>
      <c r="D744" s="36">
        <v>200</v>
      </c>
      <c r="E744" s="40">
        <f>E745</f>
        <v>488</v>
      </c>
      <c r="F744" s="40">
        <f>F745</f>
        <v>0</v>
      </c>
      <c r="G744" s="25">
        <f t="shared" si="28"/>
        <v>488</v>
      </c>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row>
    <row r="745" spans="1:34" s="3" customFormat="1" ht="31.5">
      <c r="A745" s="48" t="s">
        <v>22</v>
      </c>
      <c r="B745" s="33" t="s">
        <v>526</v>
      </c>
      <c r="C745" s="36" t="s">
        <v>536</v>
      </c>
      <c r="D745" s="36">
        <v>240</v>
      </c>
      <c r="E745" s="40">
        <v>488</v>
      </c>
      <c r="F745" s="40">
        <v>0</v>
      </c>
      <c r="G745" s="25">
        <f t="shared" si="28"/>
        <v>488</v>
      </c>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row>
    <row r="746" spans="1:34" s="3" customFormat="1" ht="15.75">
      <c r="A746" s="48" t="s">
        <v>156</v>
      </c>
      <c r="B746" s="33" t="s">
        <v>526</v>
      </c>
      <c r="C746" s="36" t="s">
        <v>536</v>
      </c>
      <c r="D746" s="36">
        <v>300</v>
      </c>
      <c r="E746" s="40">
        <f>E747</f>
        <v>48773</v>
      </c>
      <c r="F746" s="40">
        <f>F747</f>
        <v>0</v>
      </c>
      <c r="G746" s="25">
        <f t="shared" si="28"/>
        <v>48773</v>
      </c>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row>
    <row r="747" spans="1:34" s="3" customFormat="1" ht="15.75">
      <c r="A747" s="48" t="s">
        <v>520</v>
      </c>
      <c r="B747" s="33" t="s">
        <v>526</v>
      </c>
      <c r="C747" s="36" t="s">
        <v>536</v>
      </c>
      <c r="D747" s="36">
        <v>310</v>
      </c>
      <c r="E747" s="40">
        <v>48773</v>
      </c>
      <c r="F747" s="40">
        <v>0</v>
      </c>
      <c r="G747" s="25">
        <f t="shared" si="28"/>
        <v>48773</v>
      </c>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row>
    <row r="748" spans="1:34" s="3" customFormat="1" ht="31.5">
      <c r="A748" s="31" t="s">
        <v>537</v>
      </c>
      <c r="B748" s="24" t="s">
        <v>526</v>
      </c>
      <c r="C748" s="26" t="s">
        <v>538</v>
      </c>
      <c r="D748" s="26"/>
      <c r="E748" s="49">
        <f>E751+E749</f>
        <v>500000</v>
      </c>
      <c r="F748" s="49">
        <f>F751+F749</f>
        <v>0</v>
      </c>
      <c r="G748" s="25">
        <f t="shared" si="28"/>
        <v>500000</v>
      </c>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row>
    <row r="749" spans="1:34" s="3" customFormat="1" ht="31.5">
      <c r="A749" s="28" t="s">
        <v>20</v>
      </c>
      <c r="B749" s="24" t="s">
        <v>526</v>
      </c>
      <c r="C749" s="26" t="s">
        <v>538</v>
      </c>
      <c r="D749" s="26">
        <v>200</v>
      </c>
      <c r="E749" s="49">
        <f>E750</f>
        <v>5000</v>
      </c>
      <c r="F749" s="49">
        <f>F750</f>
        <v>0</v>
      </c>
      <c r="G749" s="25">
        <f t="shared" si="28"/>
        <v>5000</v>
      </c>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row>
    <row r="750" spans="1:34" s="3" customFormat="1" ht="31.5">
      <c r="A750" s="31" t="s">
        <v>22</v>
      </c>
      <c r="B750" s="24" t="s">
        <v>526</v>
      </c>
      <c r="C750" s="26" t="s">
        <v>538</v>
      </c>
      <c r="D750" s="26">
        <v>240</v>
      </c>
      <c r="E750" s="49">
        <v>5000</v>
      </c>
      <c r="F750" s="49">
        <v>0</v>
      </c>
      <c r="G750" s="25">
        <f t="shared" si="28"/>
        <v>5000</v>
      </c>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row>
    <row r="751" spans="1:34" s="3" customFormat="1" ht="15.75">
      <c r="A751" s="31" t="s">
        <v>156</v>
      </c>
      <c r="B751" s="24" t="s">
        <v>526</v>
      </c>
      <c r="C751" s="26" t="s">
        <v>538</v>
      </c>
      <c r="D751" s="26">
        <v>300</v>
      </c>
      <c r="E751" s="49">
        <f>E752</f>
        <v>495000</v>
      </c>
      <c r="F751" s="49">
        <f>F752</f>
        <v>0</v>
      </c>
      <c r="G751" s="25">
        <f t="shared" si="28"/>
        <v>495000</v>
      </c>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row>
    <row r="752" spans="1:34" s="3" customFormat="1" ht="15.75">
      <c r="A752" s="31" t="s">
        <v>520</v>
      </c>
      <c r="B752" s="24" t="s">
        <v>526</v>
      </c>
      <c r="C752" s="26" t="s">
        <v>538</v>
      </c>
      <c r="D752" s="26">
        <v>310</v>
      </c>
      <c r="E752" s="49">
        <v>495000</v>
      </c>
      <c r="F752" s="49">
        <v>0</v>
      </c>
      <c r="G752" s="25">
        <f t="shared" si="28"/>
        <v>495000</v>
      </c>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row>
    <row r="753" spans="1:34" s="3" customFormat="1" ht="63">
      <c r="A753" s="31" t="s">
        <v>539</v>
      </c>
      <c r="B753" s="24" t="s">
        <v>526</v>
      </c>
      <c r="C753" s="26" t="s">
        <v>540</v>
      </c>
      <c r="D753" s="26"/>
      <c r="E753" s="49">
        <f>SUM(E756,E754)</f>
        <v>100000</v>
      </c>
      <c r="F753" s="49">
        <f>SUM(F756,F754)</f>
        <v>0</v>
      </c>
      <c r="G753" s="25">
        <f t="shared" si="28"/>
        <v>100000</v>
      </c>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row>
    <row r="754" spans="1:34" s="3" customFormat="1" ht="31.5">
      <c r="A754" s="28" t="s">
        <v>20</v>
      </c>
      <c r="B754" s="24" t="s">
        <v>526</v>
      </c>
      <c r="C754" s="26" t="s">
        <v>540</v>
      </c>
      <c r="D754" s="26">
        <v>200</v>
      </c>
      <c r="E754" s="49">
        <f>E755</f>
        <v>1000</v>
      </c>
      <c r="F754" s="49">
        <f>F755</f>
        <v>0</v>
      </c>
      <c r="G754" s="25">
        <f t="shared" si="28"/>
        <v>1000</v>
      </c>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row>
    <row r="755" spans="1:34" s="3" customFormat="1" ht="31.5">
      <c r="A755" s="31" t="s">
        <v>22</v>
      </c>
      <c r="B755" s="24" t="s">
        <v>526</v>
      </c>
      <c r="C755" s="26" t="s">
        <v>540</v>
      </c>
      <c r="D755" s="26">
        <v>240</v>
      </c>
      <c r="E755" s="49">
        <v>1000</v>
      </c>
      <c r="F755" s="49">
        <v>0</v>
      </c>
      <c r="G755" s="25">
        <f t="shared" si="28"/>
        <v>1000</v>
      </c>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row>
    <row r="756" spans="1:34" s="3" customFormat="1" ht="15.75">
      <c r="A756" s="31" t="s">
        <v>156</v>
      </c>
      <c r="B756" s="24" t="s">
        <v>526</v>
      </c>
      <c r="C756" s="26" t="s">
        <v>540</v>
      </c>
      <c r="D756" s="26">
        <v>300</v>
      </c>
      <c r="E756" s="49">
        <f>E757</f>
        <v>99000</v>
      </c>
      <c r="F756" s="49">
        <f>F757</f>
        <v>0</v>
      </c>
      <c r="G756" s="25">
        <f t="shared" si="28"/>
        <v>99000</v>
      </c>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row>
    <row r="757" spans="1:34" s="3" customFormat="1" ht="15.75">
      <c r="A757" s="31" t="s">
        <v>520</v>
      </c>
      <c r="B757" s="24" t="s">
        <v>526</v>
      </c>
      <c r="C757" s="26" t="s">
        <v>540</v>
      </c>
      <c r="D757" s="26">
        <v>310</v>
      </c>
      <c r="E757" s="49">
        <v>99000</v>
      </c>
      <c r="F757" s="49">
        <v>0</v>
      </c>
      <c r="G757" s="25">
        <f t="shared" si="28"/>
        <v>99000</v>
      </c>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row>
    <row r="758" spans="1:34" s="3" customFormat="1" ht="31.5">
      <c r="A758" s="31" t="s">
        <v>541</v>
      </c>
      <c r="B758" s="24" t="s">
        <v>526</v>
      </c>
      <c r="C758" s="26" t="s">
        <v>542</v>
      </c>
      <c r="D758" s="26"/>
      <c r="E758" s="49">
        <f>E761+E759</f>
        <v>650000</v>
      </c>
      <c r="F758" s="49">
        <f>F761+F759</f>
        <v>0</v>
      </c>
      <c r="G758" s="25">
        <f t="shared" si="28"/>
        <v>650000</v>
      </c>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row>
    <row r="759" spans="1:34" s="3" customFormat="1" ht="31.5">
      <c r="A759" s="28" t="s">
        <v>20</v>
      </c>
      <c r="B759" s="24" t="s">
        <v>526</v>
      </c>
      <c r="C759" s="26" t="s">
        <v>542</v>
      </c>
      <c r="D759" s="26">
        <v>200</v>
      </c>
      <c r="E759" s="49">
        <f>E760</f>
        <v>128000</v>
      </c>
      <c r="F759" s="49">
        <f>F760</f>
        <v>0</v>
      </c>
      <c r="G759" s="25">
        <f t="shared" si="28"/>
        <v>128000</v>
      </c>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row>
    <row r="760" spans="1:34" s="3" customFormat="1" ht="31.5">
      <c r="A760" s="31" t="s">
        <v>22</v>
      </c>
      <c r="B760" s="24">
        <v>1003</v>
      </c>
      <c r="C760" s="26" t="s">
        <v>542</v>
      </c>
      <c r="D760" s="26">
        <v>240</v>
      </c>
      <c r="E760" s="49">
        <v>128000</v>
      </c>
      <c r="F760" s="49">
        <v>0</v>
      </c>
      <c r="G760" s="25">
        <f t="shared" si="28"/>
        <v>128000</v>
      </c>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row>
    <row r="761" spans="1:34" s="3" customFormat="1" ht="15.75">
      <c r="A761" s="31" t="s">
        <v>156</v>
      </c>
      <c r="B761" s="24" t="s">
        <v>526</v>
      </c>
      <c r="C761" s="26" t="s">
        <v>542</v>
      </c>
      <c r="D761" s="26">
        <v>300</v>
      </c>
      <c r="E761" s="49">
        <f>E762</f>
        <v>522000</v>
      </c>
      <c r="F761" s="49">
        <f>F762</f>
        <v>0</v>
      </c>
      <c r="G761" s="25">
        <f t="shared" si="28"/>
        <v>522000</v>
      </c>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row>
    <row r="762" spans="1:34" s="3" customFormat="1" ht="15.75">
      <c r="A762" s="31" t="s">
        <v>520</v>
      </c>
      <c r="B762" s="24" t="s">
        <v>526</v>
      </c>
      <c r="C762" s="26" t="s">
        <v>542</v>
      </c>
      <c r="D762" s="26">
        <v>310</v>
      </c>
      <c r="E762" s="49">
        <v>522000</v>
      </c>
      <c r="F762" s="49">
        <v>0</v>
      </c>
      <c r="G762" s="25">
        <f t="shared" si="28"/>
        <v>522000</v>
      </c>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row>
    <row r="763" spans="1:34" s="3" customFormat="1" ht="47.25">
      <c r="A763" s="31" t="s">
        <v>543</v>
      </c>
      <c r="B763" s="24">
        <v>1003</v>
      </c>
      <c r="C763" s="26" t="s">
        <v>544</v>
      </c>
      <c r="D763" s="26"/>
      <c r="E763" s="49">
        <f>E766+E764</f>
        <v>5000000</v>
      </c>
      <c r="F763" s="49">
        <f>F766+F764</f>
        <v>0</v>
      </c>
      <c r="G763" s="25">
        <f t="shared" si="28"/>
        <v>5000000</v>
      </c>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row>
    <row r="764" spans="1:34" s="3" customFormat="1" ht="31.5">
      <c r="A764" s="28" t="s">
        <v>20</v>
      </c>
      <c r="B764" s="24">
        <v>1003</v>
      </c>
      <c r="C764" s="26" t="s">
        <v>544</v>
      </c>
      <c r="D764" s="26">
        <v>200</v>
      </c>
      <c r="E764" s="49">
        <f>E765</f>
        <v>50000</v>
      </c>
      <c r="F764" s="49">
        <f>F765</f>
        <v>0</v>
      </c>
      <c r="G764" s="25">
        <f t="shared" si="28"/>
        <v>50000</v>
      </c>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row>
    <row r="765" spans="1:34" s="3" customFormat="1" ht="31.5">
      <c r="A765" s="31" t="s">
        <v>22</v>
      </c>
      <c r="B765" s="24">
        <v>1003</v>
      </c>
      <c r="C765" s="26" t="s">
        <v>544</v>
      </c>
      <c r="D765" s="26">
        <v>240</v>
      </c>
      <c r="E765" s="49">
        <v>50000</v>
      </c>
      <c r="F765" s="49">
        <v>0</v>
      </c>
      <c r="G765" s="25">
        <f t="shared" si="28"/>
        <v>50000</v>
      </c>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row>
    <row r="766" spans="1:34" s="3" customFormat="1" ht="15.75">
      <c r="A766" s="31" t="s">
        <v>156</v>
      </c>
      <c r="B766" s="24" t="s">
        <v>526</v>
      </c>
      <c r="C766" s="26" t="s">
        <v>544</v>
      </c>
      <c r="D766" s="26">
        <v>300</v>
      </c>
      <c r="E766" s="49">
        <f>E767</f>
        <v>4950000</v>
      </c>
      <c r="F766" s="49">
        <f>F767</f>
        <v>0</v>
      </c>
      <c r="G766" s="25">
        <f t="shared" si="28"/>
        <v>4950000</v>
      </c>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row>
    <row r="767" spans="1:34" s="3" customFormat="1" ht="15.75">
      <c r="A767" s="31" t="s">
        <v>520</v>
      </c>
      <c r="B767" s="24" t="s">
        <v>526</v>
      </c>
      <c r="C767" s="26" t="s">
        <v>544</v>
      </c>
      <c r="D767" s="26">
        <v>310</v>
      </c>
      <c r="E767" s="49">
        <v>4950000</v>
      </c>
      <c r="F767" s="49">
        <v>0</v>
      </c>
      <c r="G767" s="25">
        <f t="shared" si="28"/>
        <v>4950000</v>
      </c>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row>
    <row r="768" spans="1:34" s="3" customFormat="1" ht="15.75">
      <c r="A768" s="31" t="s">
        <v>545</v>
      </c>
      <c r="B768" s="24">
        <v>1003</v>
      </c>
      <c r="C768" s="26" t="s">
        <v>546</v>
      </c>
      <c r="D768" s="26"/>
      <c r="E768" s="49">
        <f>E771+E769</f>
        <v>330000</v>
      </c>
      <c r="F768" s="49">
        <f>F771+F769</f>
        <v>0</v>
      </c>
      <c r="G768" s="25">
        <f t="shared" si="28"/>
        <v>330000</v>
      </c>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row>
    <row r="769" spans="1:34" s="3" customFormat="1" ht="31.5">
      <c r="A769" s="28" t="s">
        <v>20</v>
      </c>
      <c r="B769" s="24">
        <v>1003</v>
      </c>
      <c r="C769" s="26" t="s">
        <v>546</v>
      </c>
      <c r="D769" s="26">
        <v>200</v>
      </c>
      <c r="E769" s="49">
        <f>E770</f>
        <v>4000</v>
      </c>
      <c r="F769" s="49">
        <f>F770</f>
        <v>0</v>
      </c>
      <c r="G769" s="25">
        <f t="shared" si="28"/>
        <v>4000</v>
      </c>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row>
    <row r="770" spans="1:34" s="3" customFormat="1" ht="31.5">
      <c r="A770" s="31" t="s">
        <v>22</v>
      </c>
      <c r="B770" s="24">
        <v>1003</v>
      </c>
      <c r="C770" s="26" t="s">
        <v>546</v>
      </c>
      <c r="D770" s="26">
        <v>240</v>
      </c>
      <c r="E770" s="49">
        <v>4000</v>
      </c>
      <c r="F770" s="49">
        <v>0</v>
      </c>
      <c r="G770" s="25">
        <f t="shared" si="28"/>
        <v>4000</v>
      </c>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row>
    <row r="771" spans="1:34" s="3" customFormat="1" ht="15.75">
      <c r="A771" s="31" t="s">
        <v>156</v>
      </c>
      <c r="B771" s="24" t="s">
        <v>526</v>
      </c>
      <c r="C771" s="26" t="s">
        <v>546</v>
      </c>
      <c r="D771" s="26">
        <v>300</v>
      </c>
      <c r="E771" s="49">
        <f>E772</f>
        <v>326000</v>
      </c>
      <c r="F771" s="49">
        <f>F772</f>
        <v>0</v>
      </c>
      <c r="G771" s="25">
        <f t="shared" si="28"/>
        <v>326000</v>
      </c>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row>
    <row r="772" spans="1:34" s="3" customFormat="1" ht="15.75">
      <c r="A772" s="31" t="s">
        <v>520</v>
      </c>
      <c r="B772" s="24" t="s">
        <v>526</v>
      </c>
      <c r="C772" s="26" t="s">
        <v>546</v>
      </c>
      <c r="D772" s="26">
        <v>310</v>
      </c>
      <c r="E772" s="49">
        <v>326000</v>
      </c>
      <c r="F772" s="49">
        <v>0</v>
      </c>
      <c r="G772" s="25">
        <f t="shared" si="28"/>
        <v>326000</v>
      </c>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row>
    <row r="773" spans="1:34" s="3" customFormat="1" ht="47.25">
      <c r="A773" s="48" t="s">
        <v>547</v>
      </c>
      <c r="B773" s="33" t="s">
        <v>526</v>
      </c>
      <c r="C773" s="36" t="s">
        <v>548</v>
      </c>
      <c r="D773" s="36"/>
      <c r="E773" s="40">
        <f>E776+E774</f>
        <v>17956483</v>
      </c>
      <c r="F773" s="40">
        <f>F776+F774</f>
        <v>0</v>
      </c>
      <c r="G773" s="25">
        <f t="shared" si="28"/>
        <v>17956483</v>
      </c>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row>
    <row r="774" spans="1:34" s="3" customFormat="1" ht="31.5">
      <c r="A774" s="35" t="s">
        <v>20</v>
      </c>
      <c r="B774" s="33" t="s">
        <v>526</v>
      </c>
      <c r="C774" s="36" t="s">
        <v>548</v>
      </c>
      <c r="D774" s="36">
        <v>200</v>
      </c>
      <c r="E774" s="40">
        <f>E775</f>
        <v>165200</v>
      </c>
      <c r="F774" s="40">
        <f>F775</f>
        <v>0</v>
      </c>
      <c r="G774" s="25">
        <f t="shared" si="28"/>
        <v>165200</v>
      </c>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row>
    <row r="775" spans="1:34" s="3" customFormat="1" ht="31.5">
      <c r="A775" s="48" t="s">
        <v>22</v>
      </c>
      <c r="B775" s="33" t="s">
        <v>526</v>
      </c>
      <c r="C775" s="36" t="s">
        <v>548</v>
      </c>
      <c r="D775" s="36">
        <v>240</v>
      </c>
      <c r="E775" s="40">
        <v>165200</v>
      </c>
      <c r="F775" s="40">
        <v>0</v>
      </c>
      <c r="G775" s="25">
        <f aca="true" t="shared" si="30" ref="G775:G838">SUM(E775:F775)</f>
        <v>165200</v>
      </c>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row>
    <row r="776" spans="1:34" s="3" customFormat="1" ht="15.75">
      <c r="A776" s="48" t="s">
        <v>156</v>
      </c>
      <c r="B776" s="33" t="s">
        <v>526</v>
      </c>
      <c r="C776" s="36" t="s">
        <v>548</v>
      </c>
      <c r="D776" s="36">
        <v>300</v>
      </c>
      <c r="E776" s="40">
        <f>E777</f>
        <v>17791283</v>
      </c>
      <c r="F776" s="40">
        <f>F777</f>
        <v>0</v>
      </c>
      <c r="G776" s="25">
        <f t="shared" si="30"/>
        <v>17791283</v>
      </c>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row>
    <row r="777" spans="1:34" s="3" customFormat="1" ht="15.75">
      <c r="A777" s="48" t="s">
        <v>520</v>
      </c>
      <c r="B777" s="33" t="s">
        <v>526</v>
      </c>
      <c r="C777" s="36" t="s">
        <v>548</v>
      </c>
      <c r="D777" s="36">
        <v>310</v>
      </c>
      <c r="E777" s="40">
        <v>17791283</v>
      </c>
      <c r="F777" s="40">
        <v>0</v>
      </c>
      <c r="G777" s="25">
        <f t="shared" si="30"/>
        <v>17791283</v>
      </c>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row>
    <row r="778" spans="1:34" s="3" customFormat="1" ht="47.25">
      <c r="A778" s="48" t="s">
        <v>549</v>
      </c>
      <c r="B778" s="33" t="s">
        <v>526</v>
      </c>
      <c r="C778" s="36" t="s">
        <v>550</v>
      </c>
      <c r="D778" s="36"/>
      <c r="E778" s="40">
        <f>E779</f>
        <v>2062158</v>
      </c>
      <c r="F778" s="40">
        <f>F779</f>
        <v>0</v>
      </c>
      <c r="G778" s="25">
        <f t="shared" si="30"/>
        <v>2062158</v>
      </c>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row>
    <row r="779" spans="1:34" s="3" customFormat="1" ht="15.75">
      <c r="A779" s="48" t="s">
        <v>156</v>
      </c>
      <c r="B779" s="33" t="s">
        <v>526</v>
      </c>
      <c r="C779" s="36" t="s">
        <v>550</v>
      </c>
      <c r="D779" s="36">
        <v>300</v>
      </c>
      <c r="E779" s="40">
        <f>E780</f>
        <v>2062158</v>
      </c>
      <c r="F779" s="40">
        <f>F780</f>
        <v>0</v>
      </c>
      <c r="G779" s="25">
        <f t="shared" si="30"/>
        <v>2062158</v>
      </c>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row>
    <row r="780" spans="1:34" s="3" customFormat="1" ht="15.75">
      <c r="A780" s="48" t="s">
        <v>520</v>
      </c>
      <c r="B780" s="33" t="s">
        <v>526</v>
      </c>
      <c r="C780" s="36" t="s">
        <v>550</v>
      </c>
      <c r="D780" s="36">
        <v>310</v>
      </c>
      <c r="E780" s="40">
        <v>2062158</v>
      </c>
      <c r="F780" s="40">
        <v>0</v>
      </c>
      <c r="G780" s="25">
        <f t="shared" si="30"/>
        <v>2062158</v>
      </c>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row>
    <row r="781" spans="1:34" s="3" customFormat="1" ht="15.75">
      <c r="A781" s="30" t="s">
        <v>188</v>
      </c>
      <c r="B781" s="24">
        <v>1003</v>
      </c>
      <c r="C781" s="26" t="s">
        <v>189</v>
      </c>
      <c r="D781" s="26"/>
      <c r="E781" s="27">
        <f>SUM(E782,E785,E788,E791)</f>
        <v>3550000</v>
      </c>
      <c r="F781" s="27">
        <f>SUM(F782,F785,F788,F791)</f>
        <v>300000</v>
      </c>
      <c r="G781" s="25">
        <f t="shared" si="30"/>
        <v>3850000</v>
      </c>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row>
    <row r="782" spans="1:34" s="3" customFormat="1" ht="66.75" customHeight="1">
      <c r="A782" s="31" t="s">
        <v>260</v>
      </c>
      <c r="B782" s="24">
        <v>1003</v>
      </c>
      <c r="C782" s="26" t="s">
        <v>261</v>
      </c>
      <c r="D782" s="26"/>
      <c r="E782" s="49">
        <f>E783</f>
        <v>600000</v>
      </c>
      <c r="F782" s="49">
        <f>F783</f>
        <v>0</v>
      </c>
      <c r="G782" s="25">
        <f t="shared" si="30"/>
        <v>600000</v>
      </c>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row>
    <row r="783" spans="1:34" s="3" customFormat="1" ht="31.5">
      <c r="A783" s="28" t="s">
        <v>20</v>
      </c>
      <c r="B783" s="24">
        <v>1003</v>
      </c>
      <c r="C783" s="26" t="s">
        <v>261</v>
      </c>
      <c r="D783" s="26">
        <v>200</v>
      </c>
      <c r="E783" s="49">
        <f>E784</f>
        <v>600000</v>
      </c>
      <c r="F783" s="49">
        <f>F784</f>
        <v>0</v>
      </c>
      <c r="G783" s="25">
        <f t="shared" si="30"/>
        <v>600000</v>
      </c>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row>
    <row r="784" spans="1:34" s="3" customFormat="1" ht="31.5">
      <c r="A784" s="28" t="s">
        <v>22</v>
      </c>
      <c r="B784" s="24">
        <v>1003</v>
      </c>
      <c r="C784" s="26" t="s">
        <v>261</v>
      </c>
      <c r="D784" s="26">
        <v>240</v>
      </c>
      <c r="E784" s="49">
        <v>600000</v>
      </c>
      <c r="F784" s="49">
        <v>0</v>
      </c>
      <c r="G784" s="25">
        <f t="shared" si="30"/>
        <v>600000</v>
      </c>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row>
    <row r="785" spans="1:34" s="3" customFormat="1" ht="31.5">
      <c r="A785" s="61" t="s">
        <v>551</v>
      </c>
      <c r="B785" s="24">
        <v>1003</v>
      </c>
      <c r="C785" s="26" t="s">
        <v>552</v>
      </c>
      <c r="D785" s="26"/>
      <c r="E785" s="49">
        <f>E786</f>
        <v>1550000</v>
      </c>
      <c r="F785" s="49">
        <f>F786</f>
        <v>300000</v>
      </c>
      <c r="G785" s="25">
        <f t="shared" si="30"/>
        <v>1850000</v>
      </c>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row>
    <row r="786" spans="1:34" s="3" customFormat="1" ht="31.5">
      <c r="A786" s="28" t="s">
        <v>20</v>
      </c>
      <c r="B786" s="24">
        <v>1003</v>
      </c>
      <c r="C786" s="26" t="s">
        <v>552</v>
      </c>
      <c r="D786" s="26">
        <v>200</v>
      </c>
      <c r="E786" s="49">
        <f>E787</f>
        <v>1550000</v>
      </c>
      <c r="F786" s="49">
        <f>F787</f>
        <v>300000</v>
      </c>
      <c r="G786" s="25">
        <f t="shared" si="30"/>
        <v>1850000</v>
      </c>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row>
    <row r="787" spans="1:34" s="3" customFormat="1" ht="31.5">
      <c r="A787" s="28" t="s">
        <v>22</v>
      </c>
      <c r="B787" s="24">
        <v>1003</v>
      </c>
      <c r="C787" s="26" t="s">
        <v>552</v>
      </c>
      <c r="D787" s="26">
        <v>240</v>
      </c>
      <c r="E787" s="49">
        <v>1550000</v>
      </c>
      <c r="F787" s="49">
        <v>300000</v>
      </c>
      <c r="G787" s="25">
        <f t="shared" si="30"/>
        <v>1850000</v>
      </c>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row>
    <row r="788" spans="1:34" s="3" customFormat="1" ht="31.5">
      <c r="A788" s="31" t="s">
        <v>553</v>
      </c>
      <c r="B788" s="24">
        <v>1003</v>
      </c>
      <c r="C788" s="26" t="s">
        <v>554</v>
      </c>
      <c r="D788" s="26"/>
      <c r="E788" s="49">
        <f>E789</f>
        <v>1200000</v>
      </c>
      <c r="F788" s="49">
        <f>F789</f>
        <v>0</v>
      </c>
      <c r="G788" s="25">
        <f t="shared" si="30"/>
        <v>1200000</v>
      </c>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row>
    <row r="789" spans="1:34" s="3" customFormat="1" ht="31.5">
      <c r="A789" s="28" t="s">
        <v>20</v>
      </c>
      <c r="B789" s="24">
        <v>1003</v>
      </c>
      <c r="C789" s="26" t="s">
        <v>554</v>
      </c>
      <c r="D789" s="26">
        <v>200</v>
      </c>
      <c r="E789" s="49">
        <f>E790</f>
        <v>1200000</v>
      </c>
      <c r="F789" s="49">
        <f>F790</f>
        <v>0</v>
      </c>
      <c r="G789" s="25">
        <f t="shared" si="30"/>
        <v>1200000</v>
      </c>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row>
    <row r="790" spans="1:34" s="3" customFormat="1" ht="31.5">
      <c r="A790" s="28" t="s">
        <v>22</v>
      </c>
      <c r="B790" s="24">
        <v>1003</v>
      </c>
      <c r="C790" s="26" t="s">
        <v>554</v>
      </c>
      <c r="D790" s="26">
        <v>240</v>
      </c>
      <c r="E790" s="49">
        <v>1200000</v>
      </c>
      <c r="F790" s="49">
        <v>0</v>
      </c>
      <c r="G790" s="25">
        <f t="shared" si="30"/>
        <v>1200000</v>
      </c>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row>
    <row r="791" spans="1:34" s="3" customFormat="1" ht="31.5">
      <c r="A791" s="31" t="s">
        <v>555</v>
      </c>
      <c r="B791" s="24">
        <v>1003</v>
      </c>
      <c r="C791" s="26" t="s">
        <v>556</v>
      </c>
      <c r="D791" s="26"/>
      <c r="E791" s="49">
        <f>E792</f>
        <v>200000</v>
      </c>
      <c r="F791" s="49">
        <f>F792</f>
        <v>0</v>
      </c>
      <c r="G791" s="25">
        <f t="shared" si="30"/>
        <v>200000</v>
      </c>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row>
    <row r="792" spans="1:34" s="3" customFormat="1" ht="31.5">
      <c r="A792" s="28" t="s">
        <v>20</v>
      </c>
      <c r="B792" s="24">
        <v>1003</v>
      </c>
      <c r="C792" s="26" t="s">
        <v>556</v>
      </c>
      <c r="D792" s="26">
        <v>200</v>
      </c>
      <c r="E792" s="49">
        <f>E793</f>
        <v>200000</v>
      </c>
      <c r="F792" s="49">
        <f>F793</f>
        <v>0</v>
      </c>
      <c r="G792" s="25">
        <f t="shared" si="30"/>
        <v>200000</v>
      </c>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row>
    <row r="793" spans="1:34" s="3" customFormat="1" ht="31.5">
      <c r="A793" s="28" t="s">
        <v>22</v>
      </c>
      <c r="B793" s="24">
        <v>1003</v>
      </c>
      <c r="C793" s="26" t="s">
        <v>556</v>
      </c>
      <c r="D793" s="26">
        <v>240</v>
      </c>
      <c r="E793" s="49">
        <v>200000</v>
      </c>
      <c r="F793" s="49">
        <v>0</v>
      </c>
      <c r="G793" s="25">
        <f t="shared" si="30"/>
        <v>200000</v>
      </c>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row>
    <row r="794" spans="1:34" s="3" customFormat="1" ht="15.75">
      <c r="A794" s="31" t="s">
        <v>557</v>
      </c>
      <c r="B794" s="24">
        <v>1003</v>
      </c>
      <c r="C794" s="26" t="s">
        <v>558</v>
      </c>
      <c r="D794" s="26"/>
      <c r="E794" s="49">
        <f>E795</f>
        <v>10980000</v>
      </c>
      <c r="F794" s="49">
        <f>F795</f>
        <v>0</v>
      </c>
      <c r="G794" s="25">
        <f t="shared" si="30"/>
        <v>10980000</v>
      </c>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row>
    <row r="795" spans="1:34" s="3" customFormat="1" ht="31.5">
      <c r="A795" s="31" t="s">
        <v>559</v>
      </c>
      <c r="B795" s="24">
        <v>1003</v>
      </c>
      <c r="C795" s="26" t="s">
        <v>560</v>
      </c>
      <c r="D795" s="26"/>
      <c r="E795" s="49">
        <f>E798+E796</f>
        <v>10980000</v>
      </c>
      <c r="F795" s="49">
        <f>F798+F796</f>
        <v>0</v>
      </c>
      <c r="G795" s="25">
        <f t="shared" si="30"/>
        <v>10980000</v>
      </c>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row>
    <row r="796" spans="1:34" s="3" customFormat="1" ht="31.5">
      <c r="A796" s="28" t="s">
        <v>20</v>
      </c>
      <c r="B796" s="24">
        <v>1003</v>
      </c>
      <c r="C796" s="26" t="s">
        <v>560</v>
      </c>
      <c r="D796" s="26">
        <v>200</v>
      </c>
      <c r="E796" s="49">
        <f>E797</f>
        <v>108713</v>
      </c>
      <c r="F796" s="49">
        <f>F797</f>
        <v>0</v>
      </c>
      <c r="G796" s="25">
        <f t="shared" si="30"/>
        <v>108713</v>
      </c>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row>
    <row r="797" spans="1:34" s="3" customFormat="1" ht="31.5">
      <c r="A797" s="28" t="s">
        <v>22</v>
      </c>
      <c r="B797" s="24">
        <v>1003</v>
      </c>
      <c r="C797" s="26" t="s">
        <v>560</v>
      </c>
      <c r="D797" s="26">
        <v>240</v>
      </c>
      <c r="E797" s="49">
        <v>108713</v>
      </c>
      <c r="F797" s="49">
        <v>0</v>
      </c>
      <c r="G797" s="25">
        <f t="shared" si="30"/>
        <v>108713</v>
      </c>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row>
    <row r="798" spans="1:34" s="3" customFormat="1" ht="15.75">
      <c r="A798" s="31" t="s">
        <v>156</v>
      </c>
      <c r="B798" s="24">
        <v>1003</v>
      </c>
      <c r="C798" s="26" t="s">
        <v>560</v>
      </c>
      <c r="D798" s="26">
        <v>300</v>
      </c>
      <c r="E798" s="49">
        <f>E799</f>
        <v>10871287</v>
      </c>
      <c r="F798" s="49">
        <f>F799</f>
        <v>0</v>
      </c>
      <c r="G798" s="25">
        <f t="shared" si="30"/>
        <v>10871287</v>
      </c>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row>
    <row r="799" spans="1:34" s="3" customFormat="1" ht="31.5">
      <c r="A799" s="31" t="s">
        <v>157</v>
      </c>
      <c r="B799" s="24">
        <v>1003</v>
      </c>
      <c r="C799" s="26" t="s">
        <v>560</v>
      </c>
      <c r="D799" s="26">
        <v>320</v>
      </c>
      <c r="E799" s="49">
        <v>10871287</v>
      </c>
      <c r="F799" s="49">
        <v>0</v>
      </c>
      <c r="G799" s="25">
        <f t="shared" si="30"/>
        <v>10871287</v>
      </c>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row>
    <row r="800" spans="1:34" s="3" customFormat="1" ht="15.75">
      <c r="A800" s="96" t="s">
        <v>561</v>
      </c>
      <c r="B800" s="21" t="s">
        <v>562</v>
      </c>
      <c r="C800" s="26"/>
      <c r="D800" s="26"/>
      <c r="E800" s="92">
        <f>SUM(E801,E808)</f>
        <v>442741836.14</v>
      </c>
      <c r="F800" s="92">
        <f>SUM(F801,F808)</f>
        <v>2045879.56</v>
      </c>
      <c r="G800" s="22">
        <f t="shared" si="30"/>
        <v>444787715.7</v>
      </c>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row>
    <row r="801" spans="1:34" s="3" customFormat="1" ht="31.5">
      <c r="A801" s="31" t="s">
        <v>563</v>
      </c>
      <c r="B801" s="24" t="s">
        <v>562</v>
      </c>
      <c r="C801" s="26" t="s">
        <v>368</v>
      </c>
      <c r="D801" s="26"/>
      <c r="E801" s="27">
        <f>E802</f>
        <v>11751281</v>
      </c>
      <c r="F801" s="27">
        <f>F802</f>
        <v>0</v>
      </c>
      <c r="G801" s="25">
        <f t="shared" si="30"/>
        <v>11751281</v>
      </c>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row>
    <row r="802" spans="1:34" s="3" customFormat="1" ht="31.5">
      <c r="A802" s="61" t="s">
        <v>451</v>
      </c>
      <c r="B802" s="24" t="s">
        <v>562</v>
      </c>
      <c r="C802" s="26" t="s">
        <v>452</v>
      </c>
      <c r="D802" s="26"/>
      <c r="E802" s="27">
        <f>E803</f>
        <v>11751281</v>
      </c>
      <c r="F802" s="27">
        <f>F803</f>
        <v>0</v>
      </c>
      <c r="G802" s="25">
        <f t="shared" si="30"/>
        <v>11751281</v>
      </c>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row>
    <row r="803" spans="1:34" s="3" customFormat="1" ht="15.75">
      <c r="A803" s="93" t="s">
        <v>564</v>
      </c>
      <c r="B803" s="33" t="s">
        <v>562</v>
      </c>
      <c r="C803" s="36" t="s">
        <v>565</v>
      </c>
      <c r="D803" s="36"/>
      <c r="E803" s="37">
        <f>SUM(E804,E806)</f>
        <v>11751281</v>
      </c>
      <c r="F803" s="37">
        <f>SUM(F804,F806)</f>
        <v>0</v>
      </c>
      <c r="G803" s="25">
        <f t="shared" si="30"/>
        <v>11751281</v>
      </c>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row>
    <row r="804" spans="1:34" s="3" customFormat="1" ht="31.5">
      <c r="A804" s="35" t="s">
        <v>20</v>
      </c>
      <c r="B804" s="33" t="s">
        <v>562</v>
      </c>
      <c r="C804" s="36" t="s">
        <v>565</v>
      </c>
      <c r="D804" s="33" t="s">
        <v>21</v>
      </c>
      <c r="E804" s="40">
        <f>E805</f>
        <v>109872</v>
      </c>
      <c r="F804" s="40">
        <f>F805</f>
        <v>0</v>
      </c>
      <c r="G804" s="25">
        <f t="shared" si="30"/>
        <v>109872</v>
      </c>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row>
    <row r="805" spans="1:34" s="3" customFormat="1" ht="31.5">
      <c r="A805" s="35" t="s">
        <v>22</v>
      </c>
      <c r="B805" s="33" t="s">
        <v>562</v>
      </c>
      <c r="C805" s="36" t="s">
        <v>565</v>
      </c>
      <c r="D805" s="33" t="s">
        <v>23</v>
      </c>
      <c r="E805" s="40">
        <v>109872</v>
      </c>
      <c r="F805" s="40">
        <v>0</v>
      </c>
      <c r="G805" s="25">
        <f t="shared" si="30"/>
        <v>109872</v>
      </c>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row>
    <row r="806" spans="1:34" s="3" customFormat="1" ht="15.75">
      <c r="A806" s="48" t="s">
        <v>156</v>
      </c>
      <c r="B806" s="33" t="s">
        <v>562</v>
      </c>
      <c r="C806" s="36" t="s">
        <v>565</v>
      </c>
      <c r="D806" s="36">
        <v>300</v>
      </c>
      <c r="E806" s="37">
        <f>E807</f>
        <v>11641409</v>
      </c>
      <c r="F806" s="37">
        <f>F807</f>
        <v>0</v>
      </c>
      <c r="G806" s="25">
        <f t="shared" si="30"/>
        <v>11641409</v>
      </c>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row>
    <row r="807" spans="1:34" s="3" customFormat="1" ht="31.5">
      <c r="A807" s="48" t="s">
        <v>157</v>
      </c>
      <c r="B807" s="33" t="s">
        <v>562</v>
      </c>
      <c r="C807" s="36" t="s">
        <v>565</v>
      </c>
      <c r="D807" s="36">
        <v>320</v>
      </c>
      <c r="E807" s="40">
        <v>11641409</v>
      </c>
      <c r="F807" s="40">
        <v>0</v>
      </c>
      <c r="G807" s="25">
        <f t="shared" si="30"/>
        <v>11641409</v>
      </c>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row>
    <row r="808" spans="1:34" s="3" customFormat="1" ht="31.5">
      <c r="A808" s="31" t="s">
        <v>186</v>
      </c>
      <c r="B808" s="24" t="s">
        <v>562</v>
      </c>
      <c r="C808" s="26" t="s">
        <v>187</v>
      </c>
      <c r="D808" s="26"/>
      <c r="E808" s="49">
        <f>E809+E838</f>
        <v>430990555.14</v>
      </c>
      <c r="F808" s="49">
        <f>F809+F838</f>
        <v>2045879.56</v>
      </c>
      <c r="G808" s="25">
        <f t="shared" si="30"/>
        <v>433036434.7</v>
      </c>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row>
    <row r="809" spans="1:34" s="3" customFormat="1" ht="47.25">
      <c r="A809" s="31" t="s">
        <v>516</v>
      </c>
      <c r="B809" s="24" t="s">
        <v>562</v>
      </c>
      <c r="C809" s="26" t="s">
        <v>517</v>
      </c>
      <c r="D809" s="26"/>
      <c r="E809" s="49">
        <f>SUM(E810,E815,E818,E821,E824,E829,E832,E835)</f>
        <v>414413986</v>
      </c>
      <c r="F809" s="49">
        <f>SUM(F810,F815,F818,F821,F824,F829,F832,F835)</f>
        <v>2352768</v>
      </c>
      <c r="G809" s="25">
        <f t="shared" si="30"/>
        <v>416766754</v>
      </c>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row>
    <row r="810" spans="1:34" s="3" customFormat="1" ht="31.5">
      <c r="A810" s="48" t="s">
        <v>566</v>
      </c>
      <c r="B810" s="33" t="s">
        <v>562</v>
      </c>
      <c r="C810" s="36" t="s">
        <v>567</v>
      </c>
      <c r="D810" s="36"/>
      <c r="E810" s="40">
        <f>E813+E811</f>
        <v>20286004</v>
      </c>
      <c r="F810" s="40">
        <f>F813+F811</f>
        <v>0</v>
      </c>
      <c r="G810" s="25">
        <f t="shared" si="30"/>
        <v>20286004</v>
      </c>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row>
    <row r="811" spans="1:34" s="3" customFormat="1" ht="31.5">
      <c r="A811" s="35" t="s">
        <v>20</v>
      </c>
      <c r="B811" s="33" t="s">
        <v>562</v>
      </c>
      <c r="C811" s="36" t="s">
        <v>567</v>
      </c>
      <c r="D811" s="36">
        <v>200</v>
      </c>
      <c r="E811" s="40">
        <f>E812</f>
        <v>953442</v>
      </c>
      <c r="F811" s="40">
        <f>F812</f>
        <v>0</v>
      </c>
      <c r="G811" s="25">
        <f t="shared" si="30"/>
        <v>953442</v>
      </c>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row>
    <row r="812" spans="1:34" s="3" customFormat="1" ht="31.5">
      <c r="A812" s="48" t="s">
        <v>22</v>
      </c>
      <c r="B812" s="33" t="s">
        <v>562</v>
      </c>
      <c r="C812" s="36" t="s">
        <v>567</v>
      </c>
      <c r="D812" s="36">
        <v>240</v>
      </c>
      <c r="E812" s="40">
        <v>953442</v>
      </c>
      <c r="F812" s="40">
        <v>0</v>
      </c>
      <c r="G812" s="25">
        <f t="shared" si="30"/>
        <v>953442</v>
      </c>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row>
    <row r="813" spans="1:34" s="3" customFormat="1" ht="15.75">
      <c r="A813" s="48" t="s">
        <v>156</v>
      </c>
      <c r="B813" s="33" t="s">
        <v>562</v>
      </c>
      <c r="C813" s="36" t="s">
        <v>567</v>
      </c>
      <c r="D813" s="36">
        <v>300</v>
      </c>
      <c r="E813" s="40">
        <f>E814</f>
        <v>19332562</v>
      </c>
      <c r="F813" s="40">
        <f>F814</f>
        <v>0</v>
      </c>
      <c r="G813" s="25">
        <f t="shared" si="30"/>
        <v>19332562</v>
      </c>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row>
    <row r="814" spans="1:34" s="3" customFormat="1" ht="15.75">
      <c r="A814" s="48" t="s">
        <v>520</v>
      </c>
      <c r="B814" s="33" t="s">
        <v>562</v>
      </c>
      <c r="C814" s="36" t="s">
        <v>567</v>
      </c>
      <c r="D814" s="36">
        <v>310</v>
      </c>
      <c r="E814" s="40">
        <v>19332562</v>
      </c>
      <c r="F814" s="40">
        <v>0</v>
      </c>
      <c r="G814" s="25">
        <f t="shared" si="30"/>
        <v>19332562</v>
      </c>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row>
    <row r="815" spans="1:34" s="3" customFormat="1" ht="78.75">
      <c r="A815" s="48" t="s">
        <v>568</v>
      </c>
      <c r="B815" s="33" t="s">
        <v>562</v>
      </c>
      <c r="C815" s="36" t="s">
        <v>569</v>
      </c>
      <c r="D815" s="36"/>
      <c r="E815" s="40">
        <f>E816</f>
        <v>788461</v>
      </c>
      <c r="F815" s="40">
        <f>F816</f>
        <v>0</v>
      </c>
      <c r="G815" s="25">
        <f t="shared" si="30"/>
        <v>788461</v>
      </c>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row>
    <row r="816" spans="1:34" s="3" customFormat="1" ht="15.75">
      <c r="A816" s="48" t="s">
        <v>156</v>
      </c>
      <c r="B816" s="33" t="s">
        <v>562</v>
      </c>
      <c r="C816" s="36" t="s">
        <v>569</v>
      </c>
      <c r="D816" s="36">
        <v>300</v>
      </c>
      <c r="E816" s="40">
        <f>E817</f>
        <v>788461</v>
      </c>
      <c r="F816" s="40">
        <f>F817</f>
        <v>0</v>
      </c>
      <c r="G816" s="25">
        <f t="shared" si="30"/>
        <v>788461</v>
      </c>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row>
    <row r="817" spans="1:34" s="3" customFormat="1" ht="15.75">
      <c r="A817" s="48" t="s">
        <v>520</v>
      </c>
      <c r="B817" s="33" t="s">
        <v>562</v>
      </c>
      <c r="C817" s="36" t="s">
        <v>569</v>
      </c>
      <c r="D817" s="36">
        <v>310</v>
      </c>
      <c r="E817" s="40">
        <v>788461</v>
      </c>
      <c r="F817" s="40">
        <v>0</v>
      </c>
      <c r="G817" s="25">
        <f t="shared" si="30"/>
        <v>788461</v>
      </c>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row>
    <row r="818" spans="1:34" s="3" customFormat="1" ht="94.5">
      <c r="A818" s="48" t="s">
        <v>570</v>
      </c>
      <c r="B818" s="33" t="s">
        <v>562</v>
      </c>
      <c r="C818" s="36" t="s">
        <v>571</v>
      </c>
      <c r="D818" s="36"/>
      <c r="E818" s="40">
        <f>E819</f>
        <v>39541972</v>
      </c>
      <c r="F818" s="40">
        <f>F819</f>
        <v>0</v>
      </c>
      <c r="G818" s="25">
        <f t="shared" si="30"/>
        <v>39541972</v>
      </c>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row>
    <row r="819" spans="1:34" s="3" customFormat="1" ht="15.75">
      <c r="A819" s="48" t="s">
        <v>156</v>
      </c>
      <c r="B819" s="33" t="s">
        <v>562</v>
      </c>
      <c r="C819" s="36" t="s">
        <v>571</v>
      </c>
      <c r="D819" s="36">
        <v>300</v>
      </c>
      <c r="E819" s="40">
        <f>E820</f>
        <v>39541972</v>
      </c>
      <c r="F819" s="40">
        <f>F820</f>
        <v>0</v>
      </c>
      <c r="G819" s="25">
        <f t="shared" si="30"/>
        <v>39541972</v>
      </c>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row>
    <row r="820" spans="1:34" s="3" customFormat="1" ht="15.75">
      <c r="A820" s="48" t="s">
        <v>520</v>
      </c>
      <c r="B820" s="33" t="s">
        <v>562</v>
      </c>
      <c r="C820" s="36" t="s">
        <v>571</v>
      </c>
      <c r="D820" s="36">
        <v>310</v>
      </c>
      <c r="E820" s="40">
        <v>39541972</v>
      </c>
      <c r="F820" s="40">
        <v>0</v>
      </c>
      <c r="G820" s="25">
        <f t="shared" si="30"/>
        <v>39541972</v>
      </c>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row>
    <row r="821" spans="1:34" s="3" customFormat="1" ht="31.5">
      <c r="A821" s="48" t="s">
        <v>572</v>
      </c>
      <c r="B821" s="33" t="s">
        <v>562</v>
      </c>
      <c r="C821" s="36" t="s">
        <v>573</v>
      </c>
      <c r="D821" s="36"/>
      <c r="E821" s="40">
        <f>E822</f>
        <v>140228550</v>
      </c>
      <c r="F821" s="40">
        <f>F822</f>
        <v>0</v>
      </c>
      <c r="G821" s="25">
        <f t="shared" si="30"/>
        <v>140228550</v>
      </c>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row>
    <row r="822" spans="1:34" s="3" customFormat="1" ht="15.75">
      <c r="A822" s="48" t="s">
        <v>156</v>
      </c>
      <c r="B822" s="33" t="s">
        <v>562</v>
      </c>
      <c r="C822" s="36" t="s">
        <v>573</v>
      </c>
      <c r="D822" s="36">
        <v>300</v>
      </c>
      <c r="E822" s="40">
        <f>E823</f>
        <v>140228550</v>
      </c>
      <c r="F822" s="40">
        <f>F823</f>
        <v>0</v>
      </c>
      <c r="G822" s="25">
        <f t="shared" si="30"/>
        <v>140228550</v>
      </c>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row>
    <row r="823" spans="1:34" s="3" customFormat="1" ht="15.75">
      <c r="A823" s="48" t="s">
        <v>520</v>
      </c>
      <c r="B823" s="33" t="s">
        <v>562</v>
      </c>
      <c r="C823" s="36" t="s">
        <v>573</v>
      </c>
      <c r="D823" s="36">
        <v>310</v>
      </c>
      <c r="E823" s="40">
        <v>140228550</v>
      </c>
      <c r="F823" s="40">
        <v>0</v>
      </c>
      <c r="G823" s="25">
        <f t="shared" si="30"/>
        <v>140228550</v>
      </c>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row>
    <row r="824" spans="1:34" s="3" customFormat="1" ht="63">
      <c r="A824" s="48" t="s">
        <v>574</v>
      </c>
      <c r="B824" s="33" t="s">
        <v>562</v>
      </c>
      <c r="C824" s="36" t="s">
        <v>575</v>
      </c>
      <c r="D824" s="36"/>
      <c r="E824" s="40">
        <f>E825+E827</f>
        <v>54280861</v>
      </c>
      <c r="F824" s="40">
        <f>F825+F827</f>
        <v>0</v>
      </c>
      <c r="G824" s="25">
        <f t="shared" si="30"/>
        <v>54280861</v>
      </c>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row>
    <row r="825" spans="1:34" s="3" customFormat="1" ht="31.5">
      <c r="A825" s="35" t="s">
        <v>20</v>
      </c>
      <c r="B825" s="33" t="s">
        <v>562</v>
      </c>
      <c r="C825" s="36" t="s">
        <v>575</v>
      </c>
      <c r="D825" s="36">
        <v>200</v>
      </c>
      <c r="E825" s="40">
        <f>E826</f>
        <v>439675</v>
      </c>
      <c r="F825" s="40">
        <f>F826</f>
        <v>0</v>
      </c>
      <c r="G825" s="25">
        <f t="shared" si="30"/>
        <v>439675</v>
      </c>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row>
    <row r="826" spans="1:34" s="3" customFormat="1" ht="31.5">
      <c r="A826" s="48" t="s">
        <v>22</v>
      </c>
      <c r="B826" s="33" t="s">
        <v>562</v>
      </c>
      <c r="C826" s="36" t="s">
        <v>575</v>
      </c>
      <c r="D826" s="36">
        <v>240</v>
      </c>
      <c r="E826" s="40">
        <v>439675</v>
      </c>
      <c r="F826" s="40">
        <v>0</v>
      </c>
      <c r="G826" s="25">
        <f t="shared" si="30"/>
        <v>439675</v>
      </c>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row>
    <row r="827" spans="1:34" s="3" customFormat="1" ht="15.75">
      <c r="A827" s="48" t="s">
        <v>156</v>
      </c>
      <c r="B827" s="33" t="s">
        <v>562</v>
      </c>
      <c r="C827" s="36" t="s">
        <v>575</v>
      </c>
      <c r="D827" s="36">
        <v>300</v>
      </c>
      <c r="E827" s="40">
        <f>E828</f>
        <v>53841186</v>
      </c>
      <c r="F827" s="40">
        <f>F828</f>
        <v>0</v>
      </c>
      <c r="G827" s="25">
        <f t="shared" si="30"/>
        <v>53841186</v>
      </c>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row>
    <row r="828" spans="1:34" s="3" customFormat="1" ht="15.75">
      <c r="A828" s="48" t="s">
        <v>520</v>
      </c>
      <c r="B828" s="33" t="s">
        <v>562</v>
      </c>
      <c r="C828" s="36" t="s">
        <v>575</v>
      </c>
      <c r="D828" s="36">
        <v>310</v>
      </c>
      <c r="E828" s="40">
        <v>53841186</v>
      </c>
      <c r="F828" s="40">
        <v>0</v>
      </c>
      <c r="G828" s="25">
        <f t="shared" si="30"/>
        <v>53841186</v>
      </c>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row>
    <row r="829" spans="1:34" s="3" customFormat="1" ht="94.5">
      <c r="A829" s="48" t="s">
        <v>576</v>
      </c>
      <c r="B829" s="33" t="s">
        <v>562</v>
      </c>
      <c r="C829" s="36" t="s">
        <v>577</v>
      </c>
      <c r="D829" s="36"/>
      <c r="E829" s="40">
        <f>E830</f>
        <v>85453830</v>
      </c>
      <c r="F829" s="40">
        <f>F830</f>
        <v>0</v>
      </c>
      <c r="G829" s="25">
        <f t="shared" si="30"/>
        <v>85453830</v>
      </c>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row>
    <row r="830" spans="1:34" s="3" customFormat="1" ht="15.75">
      <c r="A830" s="48" t="s">
        <v>156</v>
      </c>
      <c r="B830" s="33" t="s">
        <v>562</v>
      </c>
      <c r="C830" s="36" t="s">
        <v>577</v>
      </c>
      <c r="D830" s="36">
        <v>300</v>
      </c>
      <c r="E830" s="40">
        <f>E831</f>
        <v>85453830</v>
      </c>
      <c r="F830" s="40">
        <f>F831</f>
        <v>0</v>
      </c>
      <c r="G830" s="25">
        <f t="shared" si="30"/>
        <v>85453830</v>
      </c>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row>
    <row r="831" spans="1:34" s="3" customFormat="1" ht="15.75">
      <c r="A831" s="48" t="s">
        <v>520</v>
      </c>
      <c r="B831" s="33" t="s">
        <v>562</v>
      </c>
      <c r="C831" s="36" t="s">
        <v>577</v>
      </c>
      <c r="D831" s="36">
        <v>310</v>
      </c>
      <c r="E831" s="40">
        <v>85453830</v>
      </c>
      <c r="F831" s="40">
        <v>0</v>
      </c>
      <c r="G831" s="25">
        <f t="shared" si="30"/>
        <v>85453830</v>
      </c>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row>
    <row r="832" spans="1:34" s="3" customFormat="1" ht="63">
      <c r="A832" s="48" t="s">
        <v>578</v>
      </c>
      <c r="B832" s="33" t="s">
        <v>562</v>
      </c>
      <c r="C832" s="36" t="s">
        <v>579</v>
      </c>
      <c r="D832" s="36"/>
      <c r="E832" s="40">
        <f>E833</f>
        <v>73834308</v>
      </c>
      <c r="F832" s="40">
        <f>F833</f>
        <v>0</v>
      </c>
      <c r="G832" s="25">
        <f t="shared" si="30"/>
        <v>73834308</v>
      </c>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row>
    <row r="833" spans="1:34" s="3" customFormat="1" ht="15.75">
      <c r="A833" s="48" t="s">
        <v>156</v>
      </c>
      <c r="B833" s="33" t="s">
        <v>562</v>
      </c>
      <c r="C833" s="36" t="s">
        <v>579</v>
      </c>
      <c r="D833" s="36">
        <v>300</v>
      </c>
      <c r="E833" s="40">
        <f>E834</f>
        <v>73834308</v>
      </c>
      <c r="F833" s="40">
        <f>F834</f>
        <v>0</v>
      </c>
      <c r="G833" s="25">
        <f t="shared" si="30"/>
        <v>73834308</v>
      </c>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row>
    <row r="834" spans="1:34" s="3" customFormat="1" ht="15.75">
      <c r="A834" s="48" t="s">
        <v>520</v>
      </c>
      <c r="B834" s="33" t="s">
        <v>562</v>
      </c>
      <c r="C834" s="36" t="s">
        <v>579</v>
      </c>
      <c r="D834" s="36">
        <v>310</v>
      </c>
      <c r="E834" s="40">
        <v>73834308</v>
      </c>
      <c r="F834" s="40">
        <v>0</v>
      </c>
      <c r="G834" s="25">
        <f t="shared" si="30"/>
        <v>73834308</v>
      </c>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row>
    <row r="835" spans="1:34" s="3" customFormat="1" ht="95.25" customHeight="1">
      <c r="A835" s="80" t="s">
        <v>580</v>
      </c>
      <c r="B835" s="33" t="s">
        <v>562</v>
      </c>
      <c r="C835" s="36" t="s">
        <v>581</v>
      </c>
      <c r="D835" s="36"/>
      <c r="E835" s="40">
        <f>E836</f>
        <v>0</v>
      </c>
      <c r="F835" s="40">
        <f>F836</f>
        <v>2352768</v>
      </c>
      <c r="G835" s="25">
        <f t="shared" si="30"/>
        <v>2352768</v>
      </c>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row>
    <row r="836" spans="1:34" s="3" customFormat="1" ht="15.75">
      <c r="A836" s="48" t="s">
        <v>156</v>
      </c>
      <c r="B836" s="33" t="s">
        <v>562</v>
      </c>
      <c r="C836" s="36" t="s">
        <v>581</v>
      </c>
      <c r="D836" s="36">
        <v>300</v>
      </c>
      <c r="E836" s="40">
        <f>E837</f>
        <v>0</v>
      </c>
      <c r="F836" s="40">
        <f>F837</f>
        <v>2352768</v>
      </c>
      <c r="G836" s="25">
        <f t="shared" si="30"/>
        <v>2352768</v>
      </c>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row>
    <row r="837" spans="1:34" s="3" customFormat="1" ht="15.75">
      <c r="A837" s="48" t="s">
        <v>520</v>
      </c>
      <c r="B837" s="33" t="s">
        <v>562</v>
      </c>
      <c r="C837" s="36" t="s">
        <v>581</v>
      </c>
      <c r="D837" s="36">
        <v>310</v>
      </c>
      <c r="E837" s="40">
        <v>0</v>
      </c>
      <c r="F837" s="40">
        <f>1847328+505440</f>
        <v>2352768</v>
      </c>
      <c r="G837" s="25">
        <f t="shared" si="30"/>
        <v>2352768</v>
      </c>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row>
    <row r="838" spans="1:34" s="3" customFormat="1" ht="15.75">
      <c r="A838" s="48" t="s">
        <v>582</v>
      </c>
      <c r="B838" s="33" t="s">
        <v>562</v>
      </c>
      <c r="C838" s="36" t="s">
        <v>583</v>
      </c>
      <c r="D838" s="36"/>
      <c r="E838" s="40">
        <f aca="true" t="shared" si="31" ref="E838:F840">E839</f>
        <v>16576569.14</v>
      </c>
      <c r="F838" s="40">
        <f t="shared" si="31"/>
        <v>-306888.44</v>
      </c>
      <c r="G838" s="25">
        <f t="shared" si="30"/>
        <v>16269680.700000001</v>
      </c>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row>
    <row r="839" spans="1:34" s="3" customFormat="1" ht="31.5">
      <c r="A839" s="48" t="s">
        <v>584</v>
      </c>
      <c r="B839" s="33" t="s">
        <v>562</v>
      </c>
      <c r="C839" s="36" t="s">
        <v>585</v>
      </c>
      <c r="D839" s="36"/>
      <c r="E839" s="40">
        <f t="shared" si="31"/>
        <v>16576569.14</v>
      </c>
      <c r="F839" s="40">
        <f t="shared" si="31"/>
        <v>-306888.44</v>
      </c>
      <c r="G839" s="25">
        <f aca="true" t="shared" si="32" ref="G839:G902">SUM(E839:F839)</f>
        <v>16269680.700000001</v>
      </c>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row>
    <row r="840" spans="1:34" s="3" customFormat="1" ht="15.75">
      <c r="A840" s="48" t="s">
        <v>156</v>
      </c>
      <c r="B840" s="33" t="s">
        <v>562</v>
      </c>
      <c r="C840" s="36" t="s">
        <v>585</v>
      </c>
      <c r="D840" s="36">
        <v>300</v>
      </c>
      <c r="E840" s="40">
        <f t="shared" si="31"/>
        <v>16576569.14</v>
      </c>
      <c r="F840" s="40">
        <f t="shared" si="31"/>
        <v>-306888.44</v>
      </c>
      <c r="G840" s="25">
        <f t="shared" si="32"/>
        <v>16269680.700000001</v>
      </c>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row>
    <row r="841" spans="1:34" s="3" customFormat="1" ht="31.5">
      <c r="A841" s="48" t="s">
        <v>157</v>
      </c>
      <c r="B841" s="33" t="s">
        <v>562</v>
      </c>
      <c r="C841" s="36" t="s">
        <v>585</v>
      </c>
      <c r="D841" s="36">
        <v>320</v>
      </c>
      <c r="E841" s="40">
        <v>16576569.14</v>
      </c>
      <c r="F841" s="40">
        <f>113781.81-420670.25</f>
        <v>-306888.44</v>
      </c>
      <c r="G841" s="25">
        <f t="shared" si="32"/>
        <v>16269680.700000001</v>
      </c>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row>
    <row r="842" spans="1:34" s="3" customFormat="1" ht="15.75">
      <c r="A842" s="20" t="s">
        <v>586</v>
      </c>
      <c r="B842" s="21" t="s">
        <v>587</v>
      </c>
      <c r="C842" s="46"/>
      <c r="D842" s="46"/>
      <c r="E842" s="47">
        <f>SUM(E843,E856,E889)</f>
        <v>77042348</v>
      </c>
      <c r="F842" s="47">
        <f>SUM(F843,F856,F889)</f>
        <v>2330150.25</v>
      </c>
      <c r="G842" s="22">
        <f t="shared" si="32"/>
        <v>79372498.25</v>
      </c>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row>
    <row r="843" spans="1:34" s="3" customFormat="1" ht="31.5">
      <c r="A843" s="31" t="s">
        <v>367</v>
      </c>
      <c r="B843" s="24" t="s">
        <v>587</v>
      </c>
      <c r="C843" s="26" t="s">
        <v>368</v>
      </c>
      <c r="D843" s="26"/>
      <c r="E843" s="27">
        <f>SUM(E844,E850)</f>
        <v>5000000</v>
      </c>
      <c r="F843" s="27">
        <f>SUM(F844,F850)</f>
        <v>0</v>
      </c>
      <c r="G843" s="25">
        <f t="shared" si="32"/>
        <v>5000000</v>
      </c>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row>
    <row r="844" spans="1:34" s="3" customFormat="1" ht="31.5">
      <c r="A844" s="61" t="s">
        <v>369</v>
      </c>
      <c r="B844" s="24" t="s">
        <v>587</v>
      </c>
      <c r="C844" s="26" t="s">
        <v>370</v>
      </c>
      <c r="D844" s="26"/>
      <c r="E844" s="27">
        <f>E845</f>
        <v>2000000</v>
      </c>
      <c r="F844" s="27">
        <f>F845</f>
        <v>0</v>
      </c>
      <c r="G844" s="25">
        <f t="shared" si="32"/>
        <v>2000000</v>
      </c>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row>
    <row r="845" spans="1:34" s="3" customFormat="1" ht="31.5">
      <c r="A845" s="61" t="s">
        <v>588</v>
      </c>
      <c r="B845" s="24" t="s">
        <v>587</v>
      </c>
      <c r="C845" s="26" t="s">
        <v>589</v>
      </c>
      <c r="D845" s="26"/>
      <c r="E845" s="27">
        <f>E848+E846</f>
        <v>2000000</v>
      </c>
      <c r="F845" s="27">
        <f>F848+F846</f>
        <v>0</v>
      </c>
      <c r="G845" s="25">
        <f t="shared" si="32"/>
        <v>2000000</v>
      </c>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row>
    <row r="846" spans="1:34" s="3" customFormat="1" ht="31.5">
      <c r="A846" s="28" t="s">
        <v>20</v>
      </c>
      <c r="B846" s="24" t="s">
        <v>587</v>
      </c>
      <c r="C846" s="26" t="s">
        <v>589</v>
      </c>
      <c r="D846" s="26">
        <v>200</v>
      </c>
      <c r="E846" s="27">
        <f>E847</f>
        <v>20000</v>
      </c>
      <c r="F846" s="27">
        <f>F847</f>
        <v>0</v>
      </c>
      <c r="G846" s="25">
        <f t="shared" si="32"/>
        <v>20000</v>
      </c>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row>
    <row r="847" spans="1:34" s="3" customFormat="1" ht="31.5">
      <c r="A847" s="28" t="s">
        <v>22</v>
      </c>
      <c r="B847" s="24" t="s">
        <v>587</v>
      </c>
      <c r="C847" s="26" t="s">
        <v>589</v>
      </c>
      <c r="D847" s="26">
        <v>240</v>
      </c>
      <c r="E847" s="27">
        <v>20000</v>
      </c>
      <c r="F847" s="27">
        <v>0</v>
      </c>
      <c r="G847" s="25">
        <f t="shared" si="32"/>
        <v>20000</v>
      </c>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row>
    <row r="848" spans="1:34" s="3" customFormat="1" ht="15.75">
      <c r="A848" s="31" t="s">
        <v>156</v>
      </c>
      <c r="B848" s="24" t="s">
        <v>587</v>
      </c>
      <c r="C848" s="26" t="s">
        <v>589</v>
      </c>
      <c r="D848" s="26">
        <v>300</v>
      </c>
      <c r="E848" s="27">
        <f>E849</f>
        <v>1980000</v>
      </c>
      <c r="F848" s="27">
        <f>F849</f>
        <v>0</v>
      </c>
      <c r="G848" s="25">
        <f t="shared" si="32"/>
        <v>1980000</v>
      </c>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row>
    <row r="849" spans="1:34" s="3" customFormat="1" ht="15.75">
      <c r="A849" s="31" t="s">
        <v>520</v>
      </c>
      <c r="B849" s="24" t="s">
        <v>587</v>
      </c>
      <c r="C849" s="26" t="s">
        <v>589</v>
      </c>
      <c r="D849" s="26">
        <v>310</v>
      </c>
      <c r="E849" s="27">
        <v>1980000</v>
      </c>
      <c r="F849" s="27">
        <v>0</v>
      </c>
      <c r="G849" s="25">
        <f t="shared" si="32"/>
        <v>1980000</v>
      </c>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row>
    <row r="850" spans="1:34" s="3" customFormat="1" ht="31.5">
      <c r="A850" s="61" t="s">
        <v>387</v>
      </c>
      <c r="B850" s="24" t="s">
        <v>587</v>
      </c>
      <c r="C850" s="26" t="s">
        <v>388</v>
      </c>
      <c r="D850" s="26"/>
      <c r="E850" s="27">
        <f>E851</f>
        <v>3000000</v>
      </c>
      <c r="F850" s="27">
        <f>F851</f>
        <v>0</v>
      </c>
      <c r="G850" s="25">
        <f t="shared" si="32"/>
        <v>3000000</v>
      </c>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row>
    <row r="851" spans="1:34" s="3" customFormat="1" ht="31.5">
      <c r="A851" s="61" t="s">
        <v>590</v>
      </c>
      <c r="B851" s="24" t="s">
        <v>587</v>
      </c>
      <c r="C851" s="26" t="s">
        <v>591</v>
      </c>
      <c r="D851" s="26"/>
      <c r="E851" s="27">
        <f>E854+E852</f>
        <v>3000000</v>
      </c>
      <c r="F851" s="27">
        <f>F854+F852</f>
        <v>0</v>
      </c>
      <c r="G851" s="25">
        <f t="shared" si="32"/>
        <v>3000000</v>
      </c>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row>
    <row r="852" spans="1:34" s="3" customFormat="1" ht="31.5">
      <c r="A852" s="28" t="s">
        <v>20</v>
      </c>
      <c r="B852" s="24" t="s">
        <v>587</v>
      </c>
      <c r="C852" s="26" t="s">
        <v>591</v>
      </c>
      <c r="D852" s="26">
        <v>200</v>
      </c>
      <c r="E852" s="27">
        <f>E853</f>
        <v>30000</v>
      </c>
      <c r="F852" s="27">
        <f>F853</f>
        <v>0</v>
      </c>
      <c r="G852" s="25">
        <f t="shared" si="32"/>
        <v>30000</v>
      </c>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row>
    <row r="853" spans="1:34" s="3" customFormat="1" ht="31.5">
      <c r="A853" s="28" t="s">
        <v>22</v>
      </c>
      <c r="B853" s="24" t="s">
        <v>587</v>
      </c>
      <c r="C853" s="26" t="s">
        <v>591</v>
      </c>
      <c r="D853" s="26">
        <v>240</v>
      </c>
      <c r="E853" s="27">
        <v>30000</v>
      </c>
      <c r="F853" s="27">
        <v>0</v>
      </c>
      <c r="G853" s="25">
        <f t="shared" si="32"/>
        <v>30000</v>
      </c>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row>
    <row r="854" spans="1:34" s="3" customFormat="1" ht="15.75">
      <c r="A854" s="31" t="s">
        <v>156</v>
      </c>
      <c r="B854" s="24" t="s">
        <v>587</v>
      </c>
      <c r="C854" s="26" t="s">
        <v>591</v>
      </c>
      <c r="D854" s="26">
        <v>300</v>
      </c>
      <c r="E854" s="27">
        <f>E855</f>
        <v>2970000</v>
      </c>
      <c r="F854" s="27">
        <f>F855</f>
        <v>0</v>
      </c>
      <c r="G854" s="25">
        <f t="shared" si="32"/>
        <v>2970000</v>
      </c>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row>
    <row r="855" spans="1:34" s="3" customFormat="1" ht="15.75">
      <c r="A855" s="31" t="s">
        <v>520</v>
      </c>
      <c r="B855" s="24" t="s">
        <v>587</v>
      </c>
      <c r="C855" s="26" t="s">
        <v>591</v>
      </c>
      <c r="D855" s="26">
        <v>310</v>
      </c>
      <c r="E855" s="27">
        <v>2970000</v>
      </c>
      <c r="F855" s="27">
        <v>0</v>
      </c>
      <c r="G855" s="25">
        <f t="shared" si="32"/>
        <v>2970000</v>
      </c>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row>
    <row r="856" spans="1:34" s="3" customFormat="1" ht="31.5">
      <c r="A856" s="31" t="s">
        <v>186</v>
      </c>
      <c r="B856" s="24" t="s">
        <v>587</v>
      </c>
      <c r="C856" s="26" t="s">
        <v>187</v>
      </c>
      <c r="D856" s="26"/>
      <c r="E856" s="27">
        <f>SUM(E857,E876)</f>
        <v>72042348</v>
      </c>
      <c r="F856" s="27">
        <f>SUM(F857,F876)</f>
        <v>-669849.75</v>
      </c>
      <c r="G856" s="25">
        <f t="shared" si="32"/>
        <v>71372498.25</v>
      </c>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row>
    <row r="857" spans="1:34" s="3" customFormat="1" ht="47.25">
      <c r="A857" s="31" t="s">
        <v>516</v>
      </c>
      <c r="B857" s="24" t="s">
        <v>587</v>
      </c>
      <c r="C857" s="26" t="s">
        <v>517</v>
      </c>
      <c r="D857" s="26"/>
      <c r="E857" s="27">
        <f>SUM(E858,E863,E868,E871)</f>
        <v>36993252</v>
      </c>
      <c r="F857" s="27">
        <f>SUM(F858,F863,F868,F871)</f>
        <v>200000</v>
      </c>
      <c r="G857" s="25">
        <f t="shared" si="32"/>
        <v>37193252</v>
      </c>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row>
    <row r="858" spans="1:34" s="3" customFormat="1" ht="47.25">
      <c r="A858" s="48" t="s">
        <v>592</v>
      </c>
      <c r="B858" s="33" t="s">
        <v>587</v>
      </c>
      <c r="C858" s="36" t="s">
        <v>593</v>
      </c>
      <c r="D858" s="36"/>
      <c r="E858" s="40">
        <f>E861+E859</f>
        <v>599149</v>
      </c>
      <c r="F858" s="40">
        <f>F861+F859</f>
        <v>0</v>
      </c>
      <c r="G858" s="25">
        <f t="shared" si="32"/>
        <v>599149</v>
      </c>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row>
    <row r="859" spans="1:34" s="3" customFormat="1" ht="31.5">
      <c r="A859" s="35" t="s">
        <v>20</v>
      </c>
      <c r="B859" s="33" t="s">
        <v>587</v>
      </c>
      <c r="C859" s="36" t="s">
        <v>593</v>
      </c>
      <c r="D859" s="36">
        <v>200</v>
      </c>
      <c r="E859" s="40">
        <f>E860</f>
        <v>5990</v>
      </c>
      <c r="F859" s="40">
        <f>F860</f>
        <v>0</v>
      </c>
      <c r="G859" s="25">
        <f t="shared" si="32"/>
        <v>5990</v>
      </c>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row>
    <row r="860" spans="1:34" s="3" customFormat="1" ht="31.5">
      <c r="A860" s="48" t="s">
        <v>22</v>
      </c>
      <c r="B860" s="33" t="s">
        <v>587</v>
      </c>
      <c r="C860" s="36" t="s">
        <v>593</v>
      </c>
      <c r="D860" s="36">
        <v>240</v>
      </c>
      <c r="E860" s="40">
        <v>5990</v>
      </c>
      <c r="F860" s="40">
        <v>0</v>
      </c>
      <c r="G860" s="25">
        <f t="shared" si="32"/>
        <v>5990</v>
      </c>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row>
    <row r="861" spans="1:34" s="3" customFormat="1" ht="15.75">
      <c r="A861" s="48" t="s">
        <v>156</v>
      </c>
      <c r="B861" s="33" t="s">
        <v>587</v>
      </c>
      <c r="C861" s="36" t="s">
        <v>593</v>
      </c>
      <c r="D861" s="36">
        <v>300</v>
      </c>
      <c r="E861" s="40">
        <f>E862</f>
        <v>593159</v>
      </c>
      <c r="F861" s="40">
        <f>F862</f>
        <v>0</v>
      </c>
      <c r="G861" s="25">
        <f t="shared" si="32"/>
        <v>593159</v>
      </c>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row>
    <row r="862" spans="1:34" s="3" customFormat="1" ht="15.75">
      <c r="A862" s="48" t="s">
        <v>520</v>
      </c>
      <c r="B862" s="33" t="s">
        <v>587</v>
      </c>
      <c r="C862" s="36" t="s">
        <v>593</v>
      </c>
      <c r="D862" s="36">
        <v>310</v>
      </c>
      <c r="E862" s="40">
        <v>593159</v>
      </c>
      <c r="F862" s="40">
        <v>0</v>
      </c>
      <c r="G862" s="25">
        <f t="shared" si="32"/>
        <v>593159</v>
      </c>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row>
    <row r="863" spans="1:34" s="3" customFormat="1" ht="47.25">
      <c r="A863" s="31" t="s">
        <v>594</v>
      </c>
      <c r="B863" s="24" t="s">
        <v>587</v>
      </c>
      <c r="C863" s="26" t="s">
        <v>595</v>
      </c>
      <c r="D863" s="26"/>
      <c r="E863" s="49">
        <f>E866+E864</f>
        <v>3000000</v>
      </c>
      <c r="F863" s="49">
        <f>F866+F864</f>
        <v>0</v>
      </c>
      <c r="G863" s="25">
        <f t="shared" si="32"/>
        <v>3000000</v>
      </c>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row>
    <row r="864" spans="1:34" s="3" customFormat="1" ht="31.5">
      <c r="A864" s="28" t="s">
        <v>20</v>
      </c>
      <c r="B864" s="24" t="s">
        <v>587</v>
      </c>
      <c r="C864" s="26" t="s">
        <v>595</v>
      </c>
      <c r="D864" s="26">
        <v>200</v>
      </c>
      <c r="E864" s="27">
        <f>E865</f>
        <v>29703</v>
      </c>
      <c r="F864" s="27">
        <f>F865</f>
        <v>0</v>
      </c>
      <c r="G864" s="25">
        <f t="shared" si="32"/>
        <v>29703</v>
      </c>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row>
    <row r="865" spans="1:34" s="3" customFormat="1" ht="31.5">
      <c r="A865" s="31" t="s">
        <v>22</v>
      </c>
      <c r="B865" s="24" t="s">
        <v>587</v>
      </c>
      <c r="C865" s="26" t="s">
        <v>595</v>
      </c>
      <c r="D865" s="26">
        <v>240</v>
      </c>
      <c r="E865" s="27">
        <v>29703</v>
      </c>
      <c r="F865" s="27">
        <v>0</v>
      </c>
      <c r="G865" s="25">
        <f t="shared" si="32"/>
        <v>29703</v>
      </c>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row>
    <row r="866" spans="1:34" s="3" customFormat="1" ht="15.75">
      <c r="A866" s="31" t="s">
        <v>156</v>
      </c>
      <c r="B866" s="24" t="s">
        <v>587</v>
      </c>
      <c r="C866" s="26" t="s">
        <v>595</v>
      </c>
      <c r="D866" s="26">
        <v>300</v>
      </c>
      <c r="E866" s="27">
        <f>E867</f>
        <v>2970297</v>
      </c>
      <c r="F866" s="27">
        <f>F867</f>
        <v>0</v>
      </c>
      <c r="G866" s="25">
        <f t="shared" si="32"/>
        <v>2970297</v>
      </c>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row>
    <row r="867" spans="1:34" s="3" customFormat="1" ht="15.75">
      <c r="A867" s="31" t="s">
        <v>520</v>
      </c>
      <c r="B867" s="24" t="s">
        <v>587</v>
      </c>
      <c r="C867" s="26" t="s">
        <v>595</v>
      </c>
      <c r="D867" s="26">
        <v>310</v>
      </c>
      <c r="E867" s="27">
        <v>2970297</v>
      </c>
      <c r="F867" s="27">
        <v>0</v>
      </c>
      <c r="G867" s="25">
        <f t="shared" si="32"/>
        <v>2970297</v>
      </c>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row>
    <row r="868" spans="1:34" s="3" customFormat="1" ht="31.5">
      <c r="A868" s="31" t="s">
        <v>596</v>
      </c>
      <c r="B868" s="24" t="s">
        <v>587</v>
      </c>
      <c r="C868" s="26" t="s">
        <v>597</v>
      </c>
      <c r="D868" s="26"/>
      <c r="E868" s="27">
        <f>E869</f>
        <v>1000000</v>
      </c>
      <c r="F868" s="27">
        <f>F869</f>
        <v>200000</v>
      </c>
      <c r="G868" s="25">
        <f t="shared" si="32"/>
        <v>1200000</v>
      </c>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row>
    <row r="869" spans="1:34" s="3" customFormat="1" ht="31.5">
      <c r="A869" s="28" t="s">
        <v>20</v>
      </c>
      <c r="B869" s="24" t="s">
        <v>587</v>
      </c>
      <c r="C869" s="26" t="s">
        <v>597</v>
      </c>
      <c r="D869" s="26">
        <v>200</v>
      </c>
      <c r="E869" s="27">
        <f>E870</f>
        <v>1000000</v>
      </c>
      <c r="F869" s="27">
        <f>F870</f>
        <v>200000</v>
      </c>
      <c r="G869" s="25">
        <f t="shared" si="32"/>
        <v>1200000</v>
      </c>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row>
    <row r="870" spans="1:34" s="3" customFormat="1" ht="31.5">
      <c r="A870" s="28" t="s">
        <v>22</v>
      </c>
      <c r="B870" s="24" t="s">
        <v>587</v>
      </c>
      <c r="C870" s="26" t="s">
        <v>597</v>
      </c>
      <c r="D870" s="26">
        <v>240</v>
      </c>
      <c r="E870" s="49">
        <v>1000000</v>
      </c>
      <c r="F870" s="49">
        <v>200000</v>
      </c>
      <c r="G870" s="25">
        <f t="shared" si="32"/>
        <v>1200000</v>
      </c>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row>
    <row r="871" spans="1:34" s="3" customFormat="1" ht="47.25">
      <c r="A871" s="48" t="s">
        <v>598</v>
      </c>
      <c r="B871" s="33" t="s">
        <v>587</v>
      </c>
      <c r="C871" s="36" t="s">
        <v>599</v>
      </c>
      <c r="D871" s="36"/>
      <c r="E871" s="40">
        <f>E874+E872</f>
        <v>32394103</v>
      </c>
      <c r="F871" s="40">
        <f>F874+F872</f>
        <v>0</v>
      </c>
      <c r="G871" s="25">
        <f t="shared" si="32"/>
        <v>32394103</v>
      </c>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row>
    <row r="872" spans="1:34" s="3" customFormat="1" ht="31.5">
      <c r="A872" s="35" t="s">
        <v>20</v>
      </c>
      <c r="B872" s="33" t="s">
        <v>587</v>
      </c>
      <c r="C872" s="36" t="s">
        <v>599</v>
      </c>
      <c r="D872" s="36">
        <v>200</v>
      </c>
      <c r="E872" s="40">
        <f>E873</f>
        <v>320702</v>
      </c>
      <c r="F872" s="40">
        <f>F873</f>
        <v>0</v>
      </c>
      <c r="G872" s="25">
        <f t="shared" si="32"/>
        <v>320702</v>
      </c>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row>
    <row r="873" spans="1:34" s="3" customFormat="1" ht="31.5">
      <c r="A873" s="48" t="s">
        <v>22</v>
      </c>
      <c r="B873" s="33" t="s">
        <v>587</v>
      </c>
      <c r="C873" s="36" t="s">
        <v>599</v>
      </c>
      <c r="D873" s="36">
        <v>240</v>
      </c>
      <c r="E873" s="40">
        <v>320702</v>
      </c>
      <c r="F873" s="40">
        <v>0</v>
      </c>
      <c r="G873" s="25">
        <f t="shared" si="32"/>
        <v>320702</v>
      </c>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row>
    <row r="874" spans="1:34" s="3" customFormat="1" ht="15.75">
      <c r="A874" s="48" t="s">
        <v>156</v>
      </c>
      <c r="B874" s="33" t="s">
        <v>587</v>
      </c>
      <c r="C874" s="36" t="s">
        <v>599</v>
      </c>
      <c r="D874" s="36">
        <v>300</v>
      </c>
      <c r="E874" s="40">
        <f>E875</f>
        <v>32073401</v>
      </c>
      <c r="F874" s="40">
        <f>F875</f>
        <v>0</v>
      </c>
      <c r="G874" s="25">
        <f t="shared" si="32"/>
        <v>32073401</v>
      </c>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row>
    <row r="875" spans="1:34" s="3" customFormat="1" ht="15.75">
      <c r="A875" s="48" t="s">
        <v>520</v>
      </c>
      <c r="B875" s="33" t="s">
        <v>587</v>
      </c>
      <c r="C875" s="36" t="s">
        <v>599</v>
      </c>
      <c r="D875" s="36">
        <v>310</v>
      </c>
      <c r="E875" s="40">
        <v>32073401</v>
      </c>
      <c r="F875" s="40">
        <v>0</v>
      </c>
      <c r="G875" s="25">
        <f t="shared" si="32"/>
        <v>32073401</v>
      </c>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row>
    <row r="876" spans="1:34" s="3" customFormat="1" ht="47.25">
      <c r="A876" s="48" t="s">
        <v>600</v>
      </c>
      <c r="B876" s="33" t="s">
        <v>587</v>
      </c>
      <c r="C876" s="36" t="s">
        <v>601</v>
      </c>
      <c r="D876" s="36"/>
      <c r="E876" s="40">
        <f>SUM(E877,E884)</f>
        <v>35049096</v>
      </c>
      <c r="F876" s="40">
        <f>SUM(F877,F884)</f>
        <v>-869849.75</v>
      </c>
      <c r="G876" s="25">
        <f t="shared" si="32"/>
        <v>34179246.25</v>
      </c>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row>
    <row r="877" spans="1:34" s="3" customFormat="1" ht="31.5">
      <c r="A877" s="48" t="s">
        <v>602</v>
      </c>
      <c r="B877" s="33" t="s">
        <v>587</v>
      </c>
      <c r="C877" s="36" t="s">
        <v>603</v>
      </c>
      <c r="D877" s="36"/>
      <c r="E877" s="40">
        <f>E878+E880+E882</f>
        <v>22584096</v>
      </c>
      <c r="F877" s="40">
        <f>F878+F880+F882</f>
        <v>-1290520</v>
      </c>
      <c r="G877" s="25">
        <f t="shared" si="32"/>
        <v>21293576</v>
      </c>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row>
    <row r="878" spans="1:34" s="3" customFormat="1" ht="78.75">
      <c r="A878" s="34" t="s">
        <v>16</v>
      </c>
      <c r="B878" s="33" t="s">
        <v>587</v>
      </c>
      <c r="C878" s="36" t="s">
        <v>603</v>
      </c>
      <c r="D878" s="33" t="s">
        <v>17</v>
      </c>
      <c r="E878" s="40">
        <f>E879</f>
        <v>19912319</v>
      </c>
      <c r="F878" s="40">
        <f>F879</f>
        <v>-800000</v>
      </c>
      <c r="G878" s="25">
        <f t="shared" si="32"/>
        <v>19112319</v>
      </c>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row>
    <row r="879" spans="1:34" s="3" customFormat="1" ht="31.5">
      <c r="A879" s="34" t="s">
        <v>18</v>
      </c>
      <c r="B879" s="33" t="s">
        <v>587</v>
      </c>
      <c r="C879" s="36" t="s">
        <v>603</v>
      </c>
      <c r="D879" s="33" t="s">
        <v>19</v>
      </c>
      <c r="E879" s="40">
        <v>19912319</v>
      </c>
      <c r="F879" s="40">
        <v>-800000</v>
      </c>
      <c r="G879" s="25">
        <f t="shared" si="32"/>
        <v>19112319</v>
      </c>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row>
    <row r="880" spans="1:34" s="3" customFormat="1" ht="31.5">
      <c r="A880" s="35" t="s">
        <v>20</v>
      </c>
      <c r="B880" s="33" t="s">
        <v>587</v>
      </c>
      <c r="C880" s="36" t="s">
        <v>603</v>
      </c>
      <c r="D880" s="33" t="s">
        <v>21</v>
      </c>
      <c r="E880" s="40">
        <f>E881</f>
        <v>2661777</v>
      </c>
      <c r="F880" s="40">
        <f>F881</f>
        <v>-490520</v>
      </c>
      <c r="G880" s="25">
        <f t="shared" si="32"/>
        <v>2171257</v>
      </c>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row>
    <row r="881" spans="1:34" s="3" customFormat="1" ht="31.5">
      <c r="A881" s="35" t="s">
        <v>22</v>
      </c>
      <c r="B881" s="33" t="s">
        <v>587</v>
      </c>
      <c r="C881" s="36" t="s">
        <v>603</v>
      </c>
      <c r="D881" s="33" t="s">
        <v>23</v>
      </c>
      <c r="E881" s="40">
        <v>2661777</v>
      </c>
      <c r="F881" s="40">
        <f>-1290520+800000</f>
        <v>-490520</v>
      </c>
      <c r="G881" s="25">
        <f t="shared" si="32"/>
        <v>2171257</v>
      </c>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row>
    <row r="882" spans="1:34" s="3" customFormat="1" ht="15.75">
      <c r="A882" s="35" t="s">
        <v>24</v>
      </c>
      <c r="B882" s="33" t="s">
        <v>587</v>
      </c>
      <c r="C882" s="36" t="s">
        <v>603</v>
      </c>
      <c r="D882" s="33" t="s">
        <v>25</v>
      </c>
      <c r="E882" s="40">
        <f>E883</f>
        <v>10000</v>
      </c>
      <c r="F882" s="40">
        <f>F883</f>
        <v>0</v>
      </c>
      <c r="G882" s="25">
        <f t="shared" si="32"/>
        <v>10000</v>
      </c>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row>
    <row r="883" spans="1:34" s="3" customFormat="1" ht="15.75">
      <c r="A883" s="35" t="s">
        <v>26</v>
      </c>
      <c r="B883" s="33" t="s">
        <v>587</v>
      </c>
      <c r="C883" s="36" t="s">
        <v>603</v>
      </c>
      <c r="D883" s="33" t="s">
        <v>27</v>
      </c>
      <c r="E883" s="40">
        <v>10000</v>
      </c>
      <c r="F883" s="40">
        <v>0</v>
      </c>
      <c r="G883" s="25">
        <f t="shared" si="32"/>
        <v>10000</v>
      </c>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row>
    <row r="884" spans="1:34" s="3" customFormat="1" ht="47.25">
      <c r="A884" s="31" t="s">
        <v>604</v>
      </c>
      <c r="B884" s="24" t="s">
        <v>587</v>
      </c>
      <c r="C884" s="26" t="s">
        <v>605</v>
      </c>
      <c r="D884" s="26"/>
      <c r="E884" s="49">
        <f>E885+E887</f>
        <v>12465000</v>
      </c>
      <c r="F884" s="49">
        <f>F885+F887</f>
        <v>420670.25</v>
      </c>
      <c r="G884" s="25">
        <f t="shared" si="32"/>
        <v>12885670.25</v>
      </c>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row>
    <row r="885" spans="1:34" s="3" customFormat="1" ht="78.75">
      <c r="A885" s="23" t="s">
        <v>16</v>
      </c>
      <c r="B885" s="24" t="s">
        <v>587</v>
      </c>
      <c r="C885" s="26" t="s">
        <v>605</v>
      </c>
      <c r="D885" s="24" t="s">
        <v>17</v>
      </c>
      <c r="E885" s="49">
        <f>E886</f>
        <v>11385000</v>
      </c>
      <c r="F885" s="49">
        <f>F886</f>
        <v>0</v>
      </c>
      <c r="G885" s="25">
        <f t="shared" si="32"/>
        <v>11385000</v>
      </c>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row>
    <row r="886" spans="1:34" s="3" customFormat="1" ht="31.5">
      <c r="A886" s="23" t="s">
        <v>18</v>
      </c>
      <c r="B886" s="24" t="s">
        <v>587</v>
      </c>
      <c r="C886" s="26" t="s">
        <v>605</v>
      </c>
      <c r="D886" s="24" t="s">
        <v>19</v>
      </c>
      <c r="E886" s="49">
        <v>11385000</v>
      </c>
      <c r="F886" s="49">
        <v>0</v>
      </c>
      <c r="G886" s="25">
        <f t="shared" si="32"/>
        <v>11385000</v>
      </c>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row>
    <row r="887" spans="1:34" s="3" customFormat="1" ht="31.5">
      <c r="A887" s="28" t="s">
        <v>20</v>
      </c>
      <c r="B887" s="24" t="s">
        <v>587</v>
      </c>
      <c r="C887" s="26" t="s">
        <v>605</v>
      </c>
      <c r="D887" s="24" t="s">
        <v>21</v>
      </c>
      <c r="E887" s="49">
        <f>E888</f>
        <v>1080000</v>
      </c>
      <c r="F887" s="49">
        <f>F888</f>
        <v>420670.25</v>
      </c>
      <c r="G887" s="25">
        <f t="shared" si="32"/>
        <v>1500670.25</v>
      </c>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row>
    <row r="888" spans="1:34" s="3" customFormat="1" ht="31.5">
      <c r="A888" s="28" t="s">
        <v>22</v>
      </c>
      <c r="B888" s="24" t="s">
        <v>587</v>
      </c>
      <c r="C888" s="26" t="s">
        <v>605</v>
      </c>
      <c r="D888" s="24" t="s">
        <v>23</v>
      </c>
      <c r="E888" s="49">
        <v>1080000</v>
      </c>
      <c r="F888" s="49">
        <v>420670.25</v>
      </c>
      <c r="G888" s="25">
        <f t="shared" si="32"/>
        <v>1500670.25</v>
      </c>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row>
    <row r="889" spans="1:34" s="3" customFormat="1" ht="15.75">
      <c r="A889" s="28" t="s">
        <v>30</v>
      </c>
      <c r="B889" s="24" t="s">
        <v>587</v>
      </c>
      <c r="C889" s="26" t="s">
        <v>31</v>
      </c>
      <c r="D889" s="24"/>
      <c r="E889" s="49">
        <f>E890</f>
        <v>0</v>
      </c>
      <c r="F889" s="49">
        <f>F890</f>
        <v>3000000</v>
      </c>
      <c r="G889" s="25">
        <f t="shared" si="32"/>
        <v>3000000</v>
      </c>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row>
    <row r="890" spans="1:34" s="3" customFormat="1" ht="15.75">
      <c r="A890" s="28" t="s">
        <v>142</v>
      </c>
      <c r="B890" s="24" t="s">
        <v>587</v>
      </c>
      <c r="C890" s="26" t="s">
        <v>143</v>
      </c>
      <c r="D890" s="24"/>
      <c r="E890" s="49">
        <f>E891</f>
        <v>0</v>
      </c>
      <c r="F890" s="49">
        <f>F891</f>
        <v>3000000</v>
      </c>
      <c r="G890" s="25">
        <f t="shared" si="32"/>
        <v>3000000</v>
      </c>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row>
    <row r="891" spans="1:34" s="3" customFormat="1" ht="34.5" customHeight="1">
      <c r="A891" s="28" t="s">
        <v>606</v>
      </c>
      <c r="B891" s="24" t="s">
        <v>587</v>
      </c>
      <c r="C891" s="26" t="s">
        <v>607</v>
      </c>
      <c r="D891" s="24"/>
      <c r="E891" s="49">
        <f>E892+E894</f>
        <v>0</v>
      </c>
      <c r="F891" s="49">
        <f>F892+F894</f>
        <v>3000000</v>
      </c>
      <c r="G891" s="25">
        <f t="shared" si="32"/>
        <v>3000000</v>
      </c>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row>
    <row r="892" spans="1:34" s="3" customFormat="1" ht="31.5">
      <c r="A892" s="28" t="s">
        <v>20</v>
      </c>
      <c r="B892" s="24" t="s">
        <v>587</v>
      </c>
      <c r="C892" s="26" t="s">
        <v>607</v>
      </c>
      <c r="D892" s="24" t="s">
        <v>21</v>
      </c>
      <c r="E892" s="49">
        <f>E893</f>
        <v>0</v>
      </c>
      <c r="F892" s="49">
        <f>F893</f>
        <v>29703</v>
      </c>
      <c r="G892" s="25">
        <f t="shared" si="32"/>
        <v>29703</v>
      </c>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row>
    <row r="893" spans="1:34" s="3" customFormat="1" ht="31.5">
      <c r="A893" s="28" t="s">
        <v>22</v>
      </c>
      <c r="B893" s="24" t="s">
        <v>587</v>
      </c>
      <c r="C893" s="26" t="s">
        <v>607</v>
      </c>
      <c r="D893" s="24" t="s">
        <v>23</v>
      </c>
      <c r="E893" s="49">
        <v>0</v>
      </c>
      <c r="F893" s="49">
        <v>29703</v>
      </c>
      <c r="G893" s="25">
        <f t="shared" si="32"/>
        <v>29703</v>
      </c>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row>
    <row r="894" spans="1:34" s="3" customFormat="1" ht="15.75">
      <c r="A894" s="48" t="s">
        <v>156</v>
      </c>
      <c r="B894" s="24" t="s">
        <v>587</v>
      </c>
      <c r="C894" s="26" t="s">
        <v>607</v>
      </c>
      <c r="D894" s="24" t="s">
        <v>455</v>
      </c>
      <c r="E894" s="49">
        <f>E895</f>
        <v>0</v>
      </c>
      <c r="F894" s="49">
        <f>F895</f>
        <v>2970297</v>
      </c>
      <c r="G894" s="25">
        <f t="shared" si="32"/>
        <v>2970297</v>
      </c>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row>
    <row r="895" spans="1:34" s="3" customFormat="1" ht="15.75">
      <c r="A895" s="48" t="s">
        <v>520</v>
      </c>
      <c r="B895" s="24" t="s">
        <v>587</v>
      </c>
      <c r="C895" s="26" t="s">
        <v>607</v>
      </c>
      <c r="D895" s="24" t="s">
        <v>608</v>
      </c>
      <c r="E895" s="49">
        <v>0</v>
      </c>
      <c r="F895" s="49">
        <v>2970297</v>
      </c>
      <c r="G895" s="25">
        <f t="shared" si="32"/>
        <v>2970297</v>
      </c>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row>
    <row r="896" spans="1:34" s="3" customFormat="1" ht="15.75">
      <c r="A896" s="17" t="s">
        <v>609</v>
      </c>
      <c r="B896" s="18" t="s">
        <v>610</v>
      </c>
      <c r="C896" s="26"/>
      <c r="D896" s="26"/>
      <c r="E896" s="66">
        <f>SUM(E920,E897)</f>
        <v>135209444.45</v>
      </c>
      <c r="F896" s="66">
        <f>SUM(F920,F897)</f>
        <v>21539338</v>
      </c>
      <c r="G896" s="19">
        <f t="shared" si="32"/>
        <v>156748782.45</v>
      </c>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row>
    <row r="897" spans="1:34" s="3" customFormat="1" ht="15.75">
      <c r="A897" s="20" t="s">
        <v>611</v>
      </c>
      <c r="B897" s="21" t="s">
        <v>612</v>
      </c>
      <c r="C897" s="26"/>
      <c r="D897" s="26"/>
      <c r="E897" s="47">
        <f>E898+E915</f>
        <v>123209444.45</v>
      </c>
      <c r="F897" s="47">
        <f>F898+F915</f>
        <v>21539338</v>
      </c>
      <c r="G897" s="22">
        <f t="shared" si="32"/>
        <v>144748782.45</v>
      </c>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row>
    <row r="898" spans="1:34" s="16" customFormat="1" ht="31.5">
      <c r="A898" s="31" t="s">
        <v>613</v>
      </c>
      <c r="B898" s="24" t="s">
        <v>612</v>
      </c>
      <c r="C898" s="26" t="s">
        <v>614</v>
      </c>
      <c r="D898" s="26"/>
      <c r="E898" s="27">
        <f>SUM(E899,E902,E905,E912,E909)</f>
        <v>121542777.78</v>
      </c>
      <c r="F898" s="27">
        <f>SUM(F899,F902,F905,F912,F909)</f>
        <v>21539338</v>
      </c>
      <c r="G898" s="25">
        <f t="shared" si="32"/>
        <v>143082115.78</v>
      </c>
      <c r="H898" s="3"/>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row>
    <row r="899" spans="1:34" s="16" customFormat="1" ht="31.5">
      <c r="A899" s="97" t="s">
        <v>615</v>
      </c>
      <c r="B899" s="24" t="s">
        <v>612</v>
      </c>
      <c r="C899" s="26" t="s">
        <v>616</v>
      </c>
      <c r="D899" s="26"/>
      <c r="E899" s="27">
        <f>E900</f>
        <v>2000000</v>
      </c>
      <c r="F899" s="27">
        <f>F900</f>
        <v>1000000</v>
      </c>
      <c r="G899" s="25">
        <f t="shared" si="32"/>
        <v>3000000</v>
      </c>
      <c r="H899" s="3"/>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row>
    <row r="900" spans="1:34" s="16" customFormat="1" ht="31.5">
      <c r="A900" s="31" t="s">
        <v>93</v>
      </c>
      <c r="B900" s="24" t="s">
        <v>612</v>
      </c>
      <c r="C900" s="26" t="s">
        <v>616</v>
      </c>
      <c r="D900" s="26">
        <v>600</v>
      </c>
      <c r="E900" s="27">
        <f>E901</f>
        <v>2000000</v>
      </c>
      <c r="F900" s="27">
        <f>F901</f>
        <v>1000000</v>
      </c>
      <c r="G900" s="25">
        <f t="shared" si="32"/>
        <v>3000000</v>
      </c>
      <c r="H900" s="3"/>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row>
    <row r="901" spans="1:34" s="3" customFormat="1" ht="15.75">
      <c r="A901" s="31" t="s">
        <v>336</v>
      </c>
      <c r="B901" s="24" t="s">
        <v>612</v>
      </c>
      <c r="C901" s="26" t="s">
        <v>616</v>
      </c>
      <c r="D901" s="26">
        <v>620</v>
      </c>
      <c r="E901" s="27">
        <v>2000000</v>
      </c>
      <c r="F901" s="27">
        <v>1000000</v>
      </c>
      <c r="G901" s="25">
        <f t="shared" si="32"/>
        <v>3000000</v>
      </c>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row>
    <row r="902" spans="1:34" s="16" customFormat="1" ht="47.25">
      <c r="A902" s="31" t="s">
        <v>617</v>
      </c>
      <c r="B902" s="24" t="s">
        <v>612</v>
      </c>
      <c r="C902" s="26" t="s">
        <v>618</v>
      </c>
      <c r="D902" s="26"/>
      <c r="E902" s="27">
        <f>E903</f>
        <v>25500000</v>
      </c>
      <c r="F902" s="27">
        <f>F903</f>
        <v>5000000</v>
      </c>
      <c r="G902" s="25">
        <f t="shared" si="32"/>
        <v>30500000</v>
      </c>
      <c r="H902" s="3"/>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row>
    <row r="903" spans="1:34" s="16" customFormat="1" ht="15.75">
      <c r="A903" s="31" t="s">
        <v>24</v>
      </c>
      <c r="B903" s="24" t="s">
        <v>612</v>
      </c>
      <c r="C903" s="26" t="s">
        <v>618</v>
      </c>
      <c r="D903" s="26">
        <v>800</v>
      </c>
      <c r="E903" s="27">
        <f>E904</f>
        <v>25500000</v>
      </c>
      <c r="F903" s="27">
        <f>F904</f>
        <v>5000000</v>
      </c>
      <c r="G903" s="25">
        <f aca="true" t="shared" si="33" ref="G903:G966">SUM(E903:F903)</f>
        <v>30500000</v>
      </c>
      <c r="H903" s="3"/>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row>
    <row r="904" spans="1:34" s="3" customFormat="1" ht="47.25">
      <c r="A904" s="31" t="s">
        <v>181</v>
      </c>
      <c r="B904" s="24" t="s">
        <v>612</v>
      </c>
      <c r="C904" s="26" t="s">
        <v>618</v>
      </c>
      <c r="D904" s="26">
        <v>810</v>
      </c>
      <c r="E904" s="27">
        <v>25500000</v>
      </c>
      <c r="F904" s="27">
        <v>5000000</v>
      </c>
      <c r="G904" s="25">
        <f t="shared" si="33"/>
        <v>30500000</v>
      </c>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row>
    <row r="905" spans="1:7" ht="31.5">
      <c r="A905" s="31" t="s">
        <v>619</v>
      </c>
      <c r="B905" s="24" t="s">
        <v>612</v>
      </c>
      <c r="C905" s="26" t="s">
        <v>620</v>
      </c>
      <c r="D905" s="26"/>
      <c r="E905" s="27">
        <f>E906</f>
        <v>90265000</v>
      </c>
      <c r="F905" s="27">
        <f>F906</f>
        <v>0</v>
      </c>
      <c r="G905" s="25">
        <f t="shared" si="33"/>
        <v>90265000</v>
      </c>
    </row>
    <row r="906" spans="1:34" s="98" customFormat="1" ht="31.5">
      <c r="A906" s="31" t="s">
        <v>93</v>
      </c>
      <c r="B906" s="24" t="s">
        <v>612</v>
      </c>
      <c r="C906" s="26" t="s">
        <v>620</v>
      </c>
      <c r="D906" s="26">
        <v>600</v>
      </c>
      <c r="E906" s="27">
        <f>SUM(E907,E908)</f>
        <v>90265000</v>
      </c>
      <c r="F906" s="27">
        <f>SUM(F907,F908)</f>
        <v>0</v>
      </c>
      <c r="G906" s="25">
        <f t="shared" si="33"/>
        <v>90265000</v>
      </c>
      <c r="I906" s="99"/>
      <c r="J906" s="99"/>
      <c r="K906" s="99"/>
      <c r="L906" s="99"/>
      <c r="M906" s="99"/>
      <c r="N906" s="99"/>
      <c r="O906" s="99"/>
      <c r="P906" s="99"/>
      <c r="Q906" s="99"/>
      <c r="R906" s="99"/>
      <c r="S906" s="99"/>
      <c r="T906" s="99"/>
      <c r="U906" s="99"/>
      <c r="V906" s="99"/>
      <c r="W906" s="99"/>
      <c r="X906" s="99"/>
      <c r="Y906" s="99"/>
      <c r="Z906" s="99"/>
      <c r="AA906" s="99"/>
      <c r="AB906" s="99"/>
      <c r="AC906" s="99"/>
      <c r="AD906" s="99"/>
      <c r="AE906" s="99"/>
      <c r="AF906" s="99"/>
      <c r="AG906" s="99"/>
      <c r="AH906" s="99"/>
    </row>
    <row r="907" spans="1:34" s="98" customFormat="1" ht="15.75">
      <c r="A907" s="31" t="s">
        <v>94</v>
      </c>
      <c r="B907" s="24" t="s">
        <v>612</v>
      </c>
      <c r="C907" s="26" t="s">
        <v>620</v>
      </c>
      <c r="D907" s="26">
        <v>610</v>
      </c>
      <c r="E907" s="27">
        <v>27265000</v>
      </c>
      <c r="F907" s="27">
        <v>0</v>
      </c>
      <c r="G907" s="25">
        <f t="shared" si="33"/>
        <v>27265000</v>
      </c>
      <c r="I907" s="99"/>
      <c r="J907" s="99"/>
      <c r="K907" s="99"/>
      <c r="L907" s="99"/>
      <c r="M907" s="99"/>
      <c r="N907" s="99"/>
      <c r="O907" s="99"/>
      <c r="P907" s="99"/>
      <c r="Q907" s="99"/>
      <c r="R907" s="99"/>
      <c r="S907" s="99"/>
      <c r="T907" s="99"/>
      <c r="U907" s="99"/>
      <c r="V907" s="99"/>
      <c r="W907" s="99"/>
      <c r="X907" s="99"/>
      <c r="Y907" s="99"/>
      <c r="Z907" s="99"/>
      <c r="AA907" s="99"/>
      <c r="AB907" s="99"/>
      <c r="AC907" s="99"/>
      <c r="AD907" s="99"/>
      <c r="AE907" s="99"/>
      <c r="AF907" s="99"/>
      <c r="AG907" s="99"/>
      <c r="AH907" s="99"/>
    </row>
    <row r="908" spans="1:34" s="98" customFormat="1" ht="15.75">
      <c r="A908" s="31" t="s">
        <v>336</v>
      </c>
      <c r="B908" s="24" t="s">
        <v>612</v>
      </c>
      <c r="C908" s="26" t="s">
        <v>620</v>
      </c>
      <c r="D908" s="26">
        <v>620</v>
      </c>
      <c r="E908" s="27">
        <v>63000000</v>
      </c>
      <c r="F908" s="27">
        <v>0</v>
      </c>
      <c r="G908" s="25">
        <f t="shared" si="33"/>
        <v>63000000</v>
      </c>
      <c r="I908" s="99"/>
      <c r="J908" s="99"/>
      <c r="K908" s="99"/>
      <c r="L908" s="99"/>
      <c r="M908" s="99"/>
      <c r="N908" s="99"/>
      <c r="O908" s="99"/>
      <c r="P908" s="99"/>
      <c r="Q908" s="99"/>
      <c r="R908" s="99"/>
      <c r="S908" s="99"/>
      <c r="T908" s="99"/>
      <c r="U908" s="99"/>
      <c r="V908" s="99"/>
      <c r="W908" s="99"/>
      <c r="X908" s="99"/>
      <c r="Y908" s="99"/>
      <c r="Z908" s="99"/>
      <c r="AA908" s="99"/>
      <c r="AB908" s="99"/>
      <c r="AC908" s="99"/>
      <c r="AD908" s="99"/>
      <c r="AE908" s="99"/>
      <c r="AF908" s="99"/>
      <c r="AG908" s="99"/>
      <c r="AH908" s="99"/>
    </row>
    <row r="909" spans="1:34" s="98" customFormat="1" ht="79.5" customHeight="1">
      <c r="A909" s="31" t="s">
        <v>621</v>
      </c>
      <c r="B909" s="24" t="s">
        <v>612</v>
      </c>
      <c r="C909" s="26" t="s">
        <v>622</v>
      </c>
      <c r="D909" s="26"/>
      <c r="E909" s="27">
        <f>E910</f>
        <v>0</v>
      </c>
      <c r="F909" s="27">
        <f>F910</f>
        <v>15539338</v>
      </c>
      <c r="G909" s="25">
        <f t="shared" si="33"/>
        <v>15539338</v>
      </c>
      <c r="I909" s="99"/>
      <c r="J909" s="99"/>
      <c r="K909" s="99"/>
      <c r="L909" s="99"/>
      <c r="M909" s="99"/>
      <c r="N909" s="99"/>
      <c r="O909" s="99"/>
      <c r="P909" s="99"/>
      <c r="Q909" s="99"/>
      <c r="R909" s="99"/>
      <c r="S909" s="99"/>
      <c r="T909" s="99"/>
      <c r="U909" s="99"/>
      <c r="V909" s="99"/>
      <c r="W909" s="99"/>
      <c r="X909" s="99"/>
      <c r="Y909" s="99"/>
      <c r="Z909" s="99"/>
      <c r="AA909" s="99"/>
      <c r="AB909" s="99"/>
      <c r="AC909" s="99"/>
      <c r="AD909" s="99"/>
      <c r="AE909" s="99"/>
      <c r="AF909" s="99"/>
      <c r="AG909" s="99"/>
      <c r="AH909" s="99"/>
    </row>
    <row r="910" spans="1:34" s="98" customFormat="1" ht="31.5">
      <c r="A910" s="31" t="s">
        <v>93</v>
      </c>
      <c r="B910" s="24" t="s">
        <v>612</v>
      </c>
      <c r="C910" s="26" t="s">
        <v>622</v>
      </c>
      <c r="D910" s="26">
        <v>600</v>
      </c>
      <c r="E910" s="27">
        <f>E911</f>
        <v>0</v>
      </c>
      <c r="F910" s="27">
        <f>F911</f>
        <v>15539338</v>
      </c>
      <c r="G910" s="25">
        <f t="shared" si="33"/>
        <v>15539338</v>
      </c>
      <c r="I910" s="99"/>
      <c r="J910" s="99"/>
      <c r="K910" s="99"/>
      <c r="L910" s="99"/>
      <c r="M910" s="99"/>
      <c r="N910" s="99"/>
      <c r="O910" s="99"/>
      <c r="P910" s="99"/>
      <c r="Q910" s="99"/>
      <c r="R910" s="99"/>
      <c r="S910" s="99"/>
      <c r="T910" s="99"/>
      <c r="U910" s="99"/>
      <c r="V910" s="99"/>
      <c r="W910" s="99"/>
      <c r="X910" s="99"/>
      <c r="Y910" s="99"/>
      <c r="Z910" s="99"/>
      <c r="AA910" s="99"/>
      <c r="AB910" s="99"/>
      <c r="AC910" s="99"/>
      <c r="AD910" s="99"/>
      <c r="AE910" s="99"/>
      <c r="AF910" s="99"/>
      <c r="AG910" s="99"/>
      <c r="AH910" s="99"/>
    </row>
    <row r="911" spans="1:34" s="98" customFormat="1" ht="15.75">
      <c r="A911" s="31" t="s">
        <v>94</v>
      </c>
      <c r="B911" s="24" t="s">
        <v>612</v>
      </c>
      <c r="C911" s="26" t="s">
        <v>622</v>
      </c>
      <c r="D911" s="26">
        <v>610</v>
      </c>
      <c r="E911" s="27">
        <v>0</v>
      </c>
      <c r="F911" s="27">
        <v>15539338</v>
      </c>
      <c r="G911" s="25">
        <f t="shared" si="33"/>
        <v>15539338</v>
      </c>
      <c r="I911" s="99"/>
      <c r="J911" s="99"/>
      <c r="K911" s="99"/>
      <c r="L911" s="99"/>
      <c r="M911" s="99"/>
      <c r="N911" s="99"/>
      <c r="O911" s="99"/>
      <c r="P911" s="99"/>
      <c r="Q911" s="99"/>
      <c r="R911" s="99"/>
      <c r="S911" s="99"/>
      <c r="T911" s="99"/>
      <c r="U911" s="99"/>
      <c r="V911" s="99"/>
      <c r="W911" s="99"/>
      <c r="X911" s="99"/>
      <c r="Y911" s="99"/>
      <c r="Z911" s="99"/>
      <c r="AA911" s="99"/>
      <c r="AB911" s="99"/>
      <c r="AC911" s="99"/>
      <c r="AD911" s="99"/>
      <c r="AE911" s="99"/>
      <c r="AF911" s="99"/>
      <c r="AG911" s="99"/>
      <c r="AH911" s="99"/>
    </row>
    <row r="912" spans="1:34" s="42" customFormat="1" ht="82.5" customHeight="1">
      <c r="A912" s="48" t="s">
        <v>623</v>
      </c>
      <c r="B912" s="33" t="s">
        <v>612</v>
      </c>
      <c r="C912" s="36" t="s">
        <v>624</v>
      </c>
      <c r="D912" s="36"/>
      <c r="E912" s="37">
        <f>E913</f>
        <v>3777777.7800000003</v>
      </c>
      <c r="F912" s="37">
        <f>F913</f>
        <v>0</v>
      </c>
      <c r="G912" s="25">
        <f t="shared" si="33"/>
        <v>3777777.7800000003</v>
      </c>
      <c r="H912" s="38"/>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row>
    <row r="913" spans="1:34" s="100" customFormat="1" ht="31.5">
      <c r="A913" s="48" t="s">
        <v>93</v>
      </c>
      <c r="B913" s="33" t="s">
        <v>612</v>
      </c>
      <c r="C913" s="36" t="s">
        <v>624</v>
      </c>
      <c r="D913" s="36">
        <v>600</v>
      </c>
      <c r="E913" s="37">
        <f>SUM(E914:E914)</f>
        <v>3777777.7800000003</v>
      </c>
      <c r="F913" s="37">
        <f>SUM(F914:F914)</f>
        <v>0</v>
      </c>
      <c r="G913" s="25">
        <f t="shared" si="33"/>
        <v>3777777.7800000003</v>
      </c>
      <c r="I913" s="101"/>
      <c r="J913" s="101"/>
      <c r="K913" s="101"/>
      <c r="L913" s="101"/>
      <c r="M913" s="101"/>
      <c r="N913" s="101"/>
      <c r="O913" s="101"/>
      <c r="P913" s="101"/>
      <c r="Q913" s="101"/>
      <c r="R913" s="101"/>
      <c r="S913" s="101"/>
      <c r="T913" s="101"/>
      <c r="U913" s="101"/>
      <c r="V913" s="101"/>
      <c r="W913" s="101"/>
      <c r="X913" s="101"/>
      <c r="Y913" s="101"/>
      <c r="Z913" s="101"/>
      <c r="AA913" s="101"/>
      <c r="AB913" s="101"/>
      <c r="AC913" s="101"/>
      <c r="AD913" s="101"/>
      <c r="AE913" s="101"/>
      <c r="AF913" s="101"/>
      <c r="AG913" s="101"/>
      <c r="AH913" s="101"/>
    </row>
    <row r="914" spans="1:34" s="100" customFormat="1" ht="15.75">
      <c r="A914" s="31" t="s">
        <v>94</v>
      </c>
      <c r="B914" s="33" t="s">
        <v>612</v>
      </c>
      <c r="C914" s="36" t="s">
        <v>624</v>
      </c>
      <c r="D914" s="36">
        <v>610</v>
      </c>
      <c r="E914" s="37">
        <f>3400000+377777.78</f>
        <v>3777777.7800000003</v>
      </c>
      <c r="F914" s="37">
        <v>0</v>
      </c>
      <c r="G914" s="25">
        <f t="shared" si="33"/>
        <v>3777777.7800000003</v>
      </c>
      <c r="I914" s="101"/>
      <c r="J914" s="101"/>
      <c r="K914" s="101"/>
      <c r="L914" s="101"/>
      <c r="M914" s="101"/>
      <c r="N914" s="101"/>
      <c r="O914" s="101"/>
      <c r="P914" s="101"/>
      <c r="Q914" s="101"/>
      <c r="R914" s="101"/>
      <c r="S914" s="101"/>
      <c r="T914" s="101"/>
      <c r="U914" s="101"/>
      <c r="V914" s="101"/>
      <c r="W914" s="101"/>
      <c r="X914" s="101"/>
      <c r="Y914" s="101"/>
      <c r="Z914" s="101"/>
      <c r="AA914" s="101"/>
      <c r="AB914" s="101"/>
      <c r="AC914" s="101"/>
      <c r="AD914" s="101"/>
      <c r="AE914" s="101"/>
      <c r="AF914" s="101"/>
      <c r="AG914" s="101"/>
      <c r="AH914" s="101"/>
    </row>
    <row r="915" spans="1:34" s="100" customFormat="1" ht="33" customHeight="1">
      <c r="A915" s="48" t="s">
        <v>625</v>
      </c>
      <c r="B915" s="24" t="s">
        <v>612</v>
      </c>
      <c r="C915" s="36" t="s">
        <v>187</v>
      </c>
      <c r="D915" s="36"/>
      <c r="E915" s="37">
        <f aca="true" t="shared" si="34" ref="E915:F918">E916</f>
        <v>1666666.67</v>
      </c>
      <c r="F915" s="37">
        <f t="shared" si="34"/>
        <v>0</v>
      </c>
      <c r="G915" s="25">
        <f t="shared" si="33"/>
        <v>1666666.67</v>
      </c>
      <c r="I915" s="101"/>
      <c r="J915" s="101"/>
      <c r="K915" s="101"/>
      <c r="L915" s="101"/>
      <c r="M915" s="101"/>
      <c r="N915" s="101"/>
      <c r="O915" s="101"/>
      <c r="P915" s="101"/>
      <c r="Q915" s="101"/>
      <c r="R915" s="101"/>
      <c r="S915" s="101"/>
      <c r="T915" s="101"/>
      <c r="U915" s="101"/>
      <c r="V915" s="101"/>
      <c r="W915" s="101"/>
      <c r="X915" s="101"/>
      <c r="Y915" s="101"/>
      <c r="Z915" s="101"/>
      <c r="AA915" s="101"/>
      <c r="AB915" s="101"/>
      <c r="AC915" s="101"/>
      <c r="AD915" s="101"/>
      <c r="AE915" s="101"/>
      <c r="AF915" s="101"/>
      <c r="AG915" s="101"/>
      <c r="AH915" s="101"/>
    </row>
    <row r="916" spans="1:34" s="100" customFormat="1" ht="21.75" customHeight="1">
      <c r="A916" s="48" t="s">
        <v>188</v>
      </c>
      <c r="B916" s="24" t="s">
        <v>612</v>
      </c>
      <c r="C916" s="36" t="s">
        <v>189</v>
      </c>
      <c r="D916" s="36"/>
      <c r="E916" s="37">
        <f t="shared" si="34"/>
        <v>1666666.67</v>
      </c>
      <c r="F916" s="37">
        <f t="shared" si="34"/>
        <v>0</v>
      </c>
      <c r="G916" s="25">
        <f t="shared" si="33"/>
        <v>1666666.67</v>
      </c>
      <c r="I916" s="101"/>
      <c r="J916" s="101"/>
      <c r="K916" s="101"/>
      <c r="L916" s="101"/>
      <c r="M916" s="101"/>
      <c r="N916" s="101"/>
      <c r="O916" s="101"/>
      <c r="P916" s="101"/>
      <c r="Q916" s="101"/>
      <c r="R916" s="101"/>
      <c r="S916" s="101"/>
      <c r="T916" s="101"/>
      <c r="U916" s="101"/>
      <c r="V916" s="101"/>
      <c r="W916" s="101"/>
      <c r="X916" s="101"/>
      <c r="Y916" s="101"/>
      <c r="Z916" s="101"/>
      <c r="AA916" s="101"/>
      <c r="AB916" s="101"/>
      <c r="AC916" s="101"/>
      <c r="AD916" s="101"/>
      <c r="AE916" s="101"/>
      <c r="AF916" s="101"/>
      <c r="AG916" s="101"/>
      <c r="AH916" s="101"/>
    </row>
    <row r="917" spans="1:34" s="100" customFormat="1" ht="47.25">
      <c r="A917" s="31" t="s">
        <v>626</v>
      </c>
      <c r="B917" s="24" t="s">
        <v>612</v>
      </c>
      <c r="C917" s="36" t="s">
        <v>627</v>
      </c>
      <c r="D917" s="36"/>
      <c r="E917" s="37">
        <f t="shared" si="34"/>
        <v>1666666.67</v>
      </c>
      <c r="F917" s="37">
        <f t="shared" si="34"/>
        <v>0</v>
      </c>
      <c r="G917" s="25">
        <f t="shared" si="33"/>
        <v>1666666.67</v>
      </c>
      <c r="I917" s="101"/>
      <c r="J917" s="101"/>
      <c r="K917" s="101"/>
      <c r="L917" s="101"/>
      <c r="M917" s="101"/>
      <c r="N917" s="101"/>
      <c r="O917" s="101"/>
      <c r="P917" s="101"/>
      <c r="Q917" s="101"/>
      <c r="R917" s="101"/>
      <c r="S917" s="101"/>
      <c r="T917" s="101"/>
      <c r="U917" s="101"/>
      <c r="V917" s="101"/>
      <c r="W917" s="101"/>
      <c r="X917" s="101"/>
      <c r="Y917" s="101"/>
      <c r="Z917" s="101"/>
      <c r="AA917" s="101"/>
      <c r="AB917" s="101"/>
      <c r="AC917" s="101"/>
      <c r="AD917" s="101"/>
      <c r="AE917" s="101"/>
      <c r="AF917" s="101"/>
      <c r="AG917" s="101"/>
      <c r="AH917" s="101"/>
    </row>
    <row r="918" spans="1:34" s="100" customFormat="1" ht="31.5">
      <c r="A918" s="48" t="s">
        <v>93</v>
      </c>
      <c r="B918" s="24" t="s">
        <v>612</v>
      </c>
      <c r="C918" s="36" t="s">
        <v>627</v>
      </c>
      <c r="D918" s="36">
        <v>600</v>
      </c>
      <c r="E918" s="37">
        <f t="shared" si="34"/>
        <v>1666666.67</v>
      </c>
      <c r="F918" s="37">
        <f t="shared" si="34"/>
        <v>0</v>
      </c>
      <c r="G918" s="25">
        <f t="shared" si="33"/>
        <v>1666666.67</v>
      </c>
      <c r="I918" s="101"/>
      <c r="J918" s="101"/>
      <c r="K918" s="101"/>
      <c r="L918" s="101"/>
      <c r="M918" s="101"/>
      <c r="N918" s="101"/>
      <c r="O918" s="101"/>
      <c r="P918" s="101"/>
      <c r="Q918" s="101"/>
      <c r="R918" s="101"/>
      <c r="S918" s="101"/>
      <c r="T918" s="101"/>
      <c r="U918" s="101"/>
      <c r="V918" s="101"/>
      <c r="W918" s="101"/>
      <c r="X918" s="101"/>
      <c r="Y918" s="101"/>
      <c r="Z918" s="101"/>
      <c r="AA918" s="101"/>
      <c r="AB918" s="101"/>
      <c r="AC918" s="101"/>
      <c r="AD918" s="101"/>
      <c r="AE918" s="101"/>
      <c r="AF918" s="101"/>
      <c r="AG918" s="101"/>
      <c r="AH918" s="101"/>
    </row>
    <row r="919" spans="1:34" s="100" customFormat="1" ht="15.75">
      <c r="A919" s="31" t="s">
        <v>336</v>
      </c>
      <c r="B919" s="24" t="s">
        <v>612</v>
      </c>
      <c r="C919" s="36" t="s">
        <v>627</v>
      </c>
      <c r="D919" s="36">
        <v>620</v>
      </c>
      <c r="E919" s="37">
        <v>1666666.67</v>
      </c>
      <c r="F919" s="37">
        <v>0</v>
      </c>
      <c r="G919" s="25">
        <f t="shared" si="33"/>
        <v>1666666.67</v>
      </c>
      <c r="I919" s="101"/>
      <c r="J919" s="101"/>
      <c r="K919" s="101"/>
      <c r="L919" s="101"/>
      <c r="M919" s="101"/>
      <c r="N919" s="101"/>
      <c r="O919" s="101"/>
      <c r="P919" s="101"/>
      <c r="Q919" s="101"/>
      <c r="R919" s="101"/>
      <c r="S919" s="101"/>
      <c r="T919" s="101"/>
      <c r="U919" s="101"/>
      <c r="V919" s="101"/>
      <c r="W919" s="101"/>
      <c r="X919" s="101"/>
      <c r="Y919" s="101"/>
      <c r="Z919" s="101"/>
      <c r="AA919" s="101"/>
      <c r="AB919" s="101"/>
      <c r="AC919" s="101"/>
      <c r="AD919" s="101"/>
      <c r="AE919" s="101"/>
      <c r="AF919" s="101"/>
      <c r="AG919" s="101"/>
      <c r="AH919" s="101"/>
    </row>
    <row r="920" spans="1:34" s="3" customFormat="1" ht="15.75">
      <c r="A920" s="20" t="s">
        <v>628</v>
      </c>
      <c r="B920" s="21" t="s">
        <v>629</v>
      </c>
      <c r="C920" s="26"/>
      <c r="D920" s="26"/>
      <c r="E920" s="47">
        <f aca="true" t="shared" si="35" ref="E920:F923">E921</f>
        <v>12000000</v>
      </c>
      <c r="F920" s="47">
        <f t="shared" si="35"/>
        <v>0</v>
      </c>
      <c r="G920" s="22">
        <f t="shared" si="33"/>
        <v>12000000</v>
      </c>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row>
    <row r="921" spans="1:34" s="3" customFormat="1" ht="31.5">
      <c r="A921" s="31" t="s">
        <v>613</v>
      </c>
      <c r="B921" s="24" t="s">
        <v>629</v>
      </c>
      <c r="C921" s="26" t="s">
        <v>614</v>
      </c>
      <c r="D921" s="26"/>
      <c r="E921" s="27">
        <f t="shared" si="35"/>
        <v>12000000</v>
      </c>
      <c r="F921" s="27">
        <f t="shared" si="35"/>
        <v>0</v>
      </c>
      <c r="G921" s="25">
        <f t="shared" si="33"/>
        <v>12000000</v>
      </c>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row>
    <row r="922" spans="1:34" s="3" customFormat="1" ht="31.5">
      <c r="A922" s="31" t="s">
        <v>630</v>
      </c>
      <c r="B922" s="24" t="s">
        <v>629</v>
      </c>
      <c r="C922" s="26" t="s">
        <v>631</v>
      </c>
      <c r="D922" s="26"/>
      <c r="E922" s="27">
        <f t="shared" si="35"/>
        <v>12000000</v>
      </c>
      <c r="F922" s="27">
        <f t="shared" si="35"/>
        <v>0</v>
      </c>
      <c r="G922" s="25">
        <f t="shared" si="33"/>
        <v>12000000</v>
      </c>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row>
    <row r="923" spans="1:34" s="3" customFormat="1" ht="15.75">
      <c r="A923" s="31" t="s">
        <v>24</v>
      </c>
      <c r="B923" s="24" t="s">
        <v>629</v>
      </c>
      <c r="C923" s="26" t="s">
        <v>631</v>
      </c>
      <c r="D923" s="26">
        <v>800</v>
      </c>
      <c r="E923" s="27">
        <f t="shared" si="35"/>
        <v>12000000</v>
      </c>
      <c r="F923" s="27">
        <f t="shared" si="35"/>
        <v>0</v>
      </c>
      <c r="G923" s="25">
        <f t="shared" si="33"/>
        <v>12000000</v>
      </c>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row>
    <row r="924" spans="1:34" s="3" customFormat="1" ht="47.25">
      <c r="A924" s="31" t="s">
        <v>181</v>
      </c>
      <c r="B924" s="24" t="s">
        <v>629</v>
      </c>
      <c r="C924" s="26" t="s">
        <v>631</v>
      </c>
      <c r="D924" s="26">
        <v>810</v>
      </c>
      <c r="E924" s="27">
        <v>12000000</v>
      </c>
      <c r="F924" s="27">
        <v>0</v>
      </c>
      <c r="G924" s="25">
        <f t="shared" si="33"/>
        <v>12000000</v>
      </c>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row>
    <row r="925" spans="1:34" s="98" customFormat="1" ht="15.75">
      <c r="A925" s="17" t="s">
        <v>632</v>
      </c>
      <c r="B925" s="18" t="s">
        <v>633</v>
      </c>
      <c r="C925" s="26"/>
      <c r="D925" s="26"/>
      <c r="E925" s="66">
        <f>SUM(E932,E926)</f>
        <v>3600000</v>
      </c>
      <c r="F925" s="66">
        <f>SUM(F932,F926)</f>
        <v>0</v>
      </c>
      <c r="G925" s="19">
        <f t="shared" si="33"/>
        <v>3600000</v>
      </c>
      <c r="I925" s="99"/>
      <c r="J925" s="99"/>
      <c r="K925" s="99"/>
      <c r="L925" s="99"/>
      <c r="M925" s="99"/>
      <c r="N925" s="99"/>
      <c r="O925" s="99"/>
      <c r="P925" s="99"/>
      <c r="Q925" s="99"/>
      <c r="R925" s="99"/>
      <c r="S925" s="99"/>
      <c r="T925" s="99"/>
      <c r="U925" s="99"/>
      <c r="V925" s="99"/>
      <c r="W925" s="99"/>
      <c r="X925" s="99"/>
      <c r="Y925" s="99"/>
      <c r="Z925" s="99"/>
      <c r="AA925" s="99"/>
      <c r="AB925" s="99"/>
      <c r="AC925" s="99"/>
      <c r="AD925" s="99"/>
      <c r="AE925" s="99"/>
      <c r="AF925" s="99"/>
      <c r="AG925" s="99"/>
      <c r="AH925" s="99"/>
    </row>
    <row r="926" spans="1:34" s="98" customFormat="1" ht="15.75">
      <c r="A926" s="20" t="s">
        <v>634</v>
      </c>
      <c r="B926" s="21" t="s">
        <v>635</v>
      </c>
      <c r="C926" s="26"/>
      <c r="D926" s="26"/>
      <c r="E926" s="47">
        <f aca="true" t="shared" si="36" ref="E926:F930">E927</f>
        <v>2550000</v>
      </c>
      <c r="F926" s="47">
        <f t="shared" si="36"/>
        <v>0</v>
      </c>
      <c r="G926" s="22">
        <f t="shared" si="33"/>
        <v>2550000</v>
      </c>
      <c r="I926" s="99"/>
      <c r="J926" s="99"/>
      <c r="K926" s="99"/>
      <c r="L926" s="99"/>
      <c r="M926" s="99"/>
      <c r="N926" s="99"/>
      <c r="O926" s="99"/>
      <c r="P926" s="99"/>
      <c r="Q926" s="99"/>
      <c r="R926" s="99"/>
      <c r="S926" s="99"/>
      <c r="T926" s="99"/>
      <c r="U926" s="99"/>
      <c r="V926" s="99"/>
      <c r="W926" s="99"/>
      <c r="X926" s="99"/>
      <c r="Y926" s="99"/>
      <c r="Z926" s="99"/>
      <c r="AA926" s="99"/>
      <c r="AB926" s="99"/>
      <c r="AC926" s="99"/>
      <c r="AD926" s="99"/>
      <c r="AE926" s="99"/>
      <c r="AF926" s="99"/>
      <c r="AG926" s="99"/>
      <c r="AH926" s="99"/>
    </row>
    <row r="927" spans="1:34" s="3" customFormat="1" ht="15.75">
      <c r="A927" s="30" t="s">
        <v>30</v>
      </c>
      <c r="B927" s="24" t="s">
        <v>635</v>
      </c>
      <c r="C927" s="26" t="s">
        <v>31</v>
      </c>
      <c r="D927" s="26"/>
      <c r="E927" s="27">
        <f t="shared" si="36"/>
        <v>2550000</v>
      </c>
      <c r="F927" s="27">
        <f t="shared" si="36"/>
        <v>0</v>
      </c>
      <c r="G927" s="25">
        <f t="shared" si="33"/>
        <v>2550000</v>
      </c>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row>
    <row r="928" spans="1:34" s="3" customFormat="1" ht="31.5">
      <c r="A928" s="31" t="s">
        <v>59</v>
      </c>
      <c r="B928" s="24" t="s">
        <v>635</v>
      </c>
      <c r="C928" s="26" t="s">
        <v>60</v>
      </c>
      <c r="D928" s="26"/>
      <c r="E928" s="27">
        <f t="shared" si="36"/>
        <v>2550000</v>
      </c>
      <c r="F928" s="27">
        <f t="shared" si="36"/>
        <v>0</v>
      </c>
      <c r="G928" s="25">
        <f t="shared" si="33"/>
        <v>2550000</v>
      </c>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row>
    <row r="929" spans="1:34" s="98" customFormat="1" ht="47.25">
      <c r="A929" s="31" t="s">
        <v>636</v>
      </c>
      <c r="B929" s="24" t="s">
        <v>635</v>
      </c>
      <c r="C929" s="26" t="s">
        <v>637</v>
      </c>
      <c r="D929" s="26"/>
      <c r="E929" s="27">
        <f t="shared" si="36"/>
        <v>2550000</v>
      </c>
      <c r="F929" s="27">
        <f t="shared" si="36"/>
        <v>0</v>
      </c>
      <c r="G929" s="25">
        <f t="shared" si="33"/>
        <v>2550000</v>
      </c>
      <c r="I929" s="99"/>
      <c r="J929" s="99"/>
      <c r="K929" s="99"/>
      <c r="L929" s="99"/>
      <c r="M929" s="99"/>
      <c r="N929" s="99"/>
      <c r="O929" s="99"/>
      <c r="P929" s="99"/>
      <c r="Q929" s="99"/>
      <c r="R929" s="99"/>
      <c r="S929" s="99"/>
      <c r="T929" s="99"/>
      <c r="U929" s="99"/>
      <c r="V929" s="99"/>
      <c r="W929" s="99"/>
      <c r="X929" s="99"/>
      <c r="Y929" s="99"/>
      <c r="Z929" s="99"/>
      <c r="AA929" s="99"/>
      <c r="AB929" s="99"/>
      <c r="AC929" s="99"/>
      <c r="AD929" s="99"/>
      <c r="AE929" s="99"/>
      <c r="AF929" s="99"/>
      <c r="AG929" s="99"/>
      <c r="AH929" s="99"/>
    </row>
    <row r="930" spans="1:34" s="98" customFormat="1" ht="31.5">
      <c r="A930" s="28" t="s">
        <v>20</v>
      </c>
      <c r="B930" s="24" t="s">
        <v>635</v>
      </c>
      <c r="C930" s="26" t="s">
        <v>637</v>
      </c>
      <c r="D930" s="26">
        <v>200</v>
      </c>
      <c r="E930" s="27">
        <f t="shared" si="36"/>
        <v>2550000</v>
      </c>
      <c r="F930" s="27">
        <f t="shared" si="36"/>
        <v>0</v>
      </c>
      <c r="G930" s="25">
        <f t="shared" si="33"/>
        <v>2550000</v>
      </c>
      <c r="I930" s="99"/>
      <c r="J930" s="99"/>
      <c r="K930" s="99"/>
      <c r="L930" s="99"/>
      <c r="M930" s="99"/>
      <c r="N930" s="99"/>
      <c r="O930" s="99"/>
      <c r="P930" s="99"/>
      <c r="Q930" s="99"/>
      <c r="R930" s="99"/>
      <c r="S930" s="99"/>
      <c r="T930" s="99"/>
      <c r="U930" s="99"/>
      <c r="V930" s="99"/>
      <c r="W930" s="99"/>
      <c r="X930" s="99"/>
      <c r="Y930" s="99"/>
      <c r="Z930" s="99"/>
      <c r="AA930" s="99"/>
      <c r="AB930" s="99"/>
      <c r="AC930" s="99"/>
      <c r="AD930" s="99"/>
      <c r="AE930" s="99"/>
      <c r="AF930" s="99"/>
      <c r="AG930" s="99"/>
      <c r="AH930" s="99"/>
    </row>
    <row r="931" spans="1:34" s="98" customFormat="1" ht="31.5">
      <c r="A931" s="28" t="s">
        <v>22</v>
      </c>
      <c r="B931" s="24" t="s">
        <v>635</v>
      </c>
      <c r="C931" s="26" t="s">
        <v>637</v>
      </c>
      <c r="D931" s="26">
        <v>240</v>
      </c>
      <c r="E931" s="27">
        <v>2550000</v>
      </c>
      <c r="F931" s="27">
        <v>0</v>
      </c>
      <c r="G931" s="25">
        <f t="shared" si="33"/>
        <v>2550000</v>
      </c>
      <c r="I931" s="99"/>
      <c r="J931" s="99"/>
      <c r="K931" s="99"/>
      <c r="L931" s="99"/>
      <c r="M931" s="99"/>
      <c r="N931" s="99"/>
      <c r="O931" s="99"/>
      <c r="P931" s="99"/>
      <c r="Q931" s="99"/>
      <c r="R931" s="99"/>
      <c r="S931" s="99"/>
      <c r="T931" s="99"/>
      <c r="U931" s="99"/>
      <c r="V931" s="99"/>
      <c r="W931" s="99"/>
      <c r="X931" s="99"/>
      <c r="Y931" s="99"/>
      <c r="Z931" s="99"/>
      <c r="AA931" s="99"/>
      <c r="AB931" s="99"/>
      <c r="AC931" s="99"/>
      <c r="AD931" s="99"/>
      <c r="AE931" s="99"/>
      <c r="AF931" s="99"/>
      <c r="AG931" s="99"/>
      <c r="AH931" s="99"/>
    </row>
    <row r="932" spans="1:34" s="98" customFormat="1" ht="15.75">
      <c r="A932" s="20" t="s">
        <v>638</v>
      </c>
      <c r="B932" s="21" t="s">
        <v>639</v>
      </c>
      <c r="C932" s="26"/>
      <c r="D932" s="26"/>
      <c r="E932" s="47">
        <f aca="true" t="shared" si="37" ref="E932:F936">E933</f>
        <v>1050000</v>
      </c>
      <c r="F932" s="47">
        <f t="shared" si="37"/>
        <v>0</v>
      </c>
      <c r="G932" s="22">
        <f t="shared" si="33"/>
        <v>1050000</v>
      </c>
      <c r="I932" s="99"/>
      <c r="J932" s="99"/>
      <c r="K932" s="99"/>
      <c r="L932" s="99"/>
      <c r="M932" s="99"/>
      <c r="N932" s="99"/>
      <c r="O932" s="99"/>
      <c r="P932" s="99"/>
      <c r="Q932" s="99"/>
      <c r="R932" s="99"/>
      <c r="S932" s="99"/>
      <c r="T932" s="99"/>
      <c r="U932" s="99"/>
      <c r="V932" s="99"/>
      <c r="W932" s="99"/>
      <c r="X932" s="99"/>
      <c r="Y932" s="99"/>
      <c r="Z932" s="99"/>
      <c r="AA932" s="99"/>
      <c r="AB932" s="99"/>
      <c r="AC932" s="99"/>
      <c r="AD932" s="99"/>
      <c r="AE932" s="99"/>
      <c r="AF932" s="99"/>
      <c r="AG932" s="99"/>
      <c r="AH932" s="99"/>
    </row>
    <row r="933" spans="1:34" s="98" customFormat="1" ht="15.75">
      <c r="A933" s="30" t="s">
        <v>30</v>
      </c>
      <c r="B933" s="24" t="s">
        <v>639</v>
      </c>
      <c r="C933" s="26" t="s">
        <v>31</v>
      </c>
      <c r="D933" s="26"/>
      <c r="E933" s="27">
        <f t="shared" si="37"/>
        <v>1050000</v>
      </c>
      <c r="F933" s="27">
        <f t="shared" si="37"/>
        <v>0</v>
      </c>
      <c r="G933" s="25">
        <f t="shared" si="33"/>
        <v>1050000</v>
      </c>
      <c r="I933" s="99"/>
      <c r="J933" s="99"/>
      <c r="K933" s="99"/>
      <c r="L933" s="99"/>
      <c r="M933" s="99"/>
      <c r="N933" s="99"/>
      <c r="O933" s="99"/>
      <c r="P933" s="99"/>
      <c r="Q933" s="99"/>
      <c r="R933" s="99"/>
      <c r="S933" s="99"/>
      <c r="T933" s="99"/>
      <c r="U933" s="99"/>
      <c r="V933" s="99"/>
      <c r="W933" s="99"/>
      <c r="X933" s="99"/>
      <c r="Y933" s="99"/>
      <c r="Z933" s="99"/>
      <c r="AA933" s="99"/>
      <c r="AB933" s="99"/>
      <c r="AC933" s="99"/>
      <c r="AD933" s="99"/>
      <c r="AE933" s="99"/>
      <c r="AF933" s="99"/>
      <c r="AG933" s="99"/>
      <c r="AH933" s="99"/>
    </row>
    <row r="934" spans="1:34" s="3" customFormat="1" ht="31.5">
      <c r="A934" s="31" t="s">
        <v>59</v>
      </c>
      <c r="B934" s="24" t="s">
        <v>639</v>
      </c>
      <c r="C934" s="26" t="s">
        <v>60</v>
      </c>
      <c r="D934" s="26"/>
      <c r="E934" s="27">
        <f t="shared" si="37"/>
        <v>1050000</v>
      </c>
      <c r="F934" s="27">
        <f t="shared" si="37"/>
        <v>0</v>
      </c>
      <c r="G934" s="25">
        <f t="shared" si="33"/>
        <v>1050000</v>
      </c>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row>
    <row r="935" spans="1:34" s="3" customFormat="1" ht="47.25">
      <c r="A935" s="31" t="s">
        <v>636</v>
      </c>
      <c r="B935" s="24" t="s">
        <v>639</v>
      </c>
      <c r="C935" s="26" t="s">
        <v>637</v>
      </c>
      <c r="D935" s="26"/>
      <c r="E935" s="27">
        <f t="shared" si="37"/>
        <v>1050000</v>
      </c>
      <c r="F935" s="27">
        <f t="shared" si="37"/>
        <v>0</v>
      </c>
      <c r="G935" s="25">
        <f t="shared" si="33"/>
        <v>1050000</v>
      </c>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row>
    <row r="936" spans="1:34" s="3" customFormat="1" ht="31.5">
      <c r="A936" s="28" t="s">
        <v>20</v>
      </c>
      <c r="B936" s="24" t="s">
        <v>639</v>
      </c>
      <c r="C936" s="26" t="s">
        <v>637</v>
      </c>
      <c r="D936" s="26">
        <v>200</v>
      </c>
      <c r="E936" s="27">
        <f t="shared" si="37"/>
        <v>1050000</v>
      </c>
      <c r="F936" s="27">
        <f t="shared" si="37"/>
        <v>0</v>
      </c>
      <c r="G936" s="25">
        <f t="shared" si="33"/>
        <v>1050000</v>
      </c>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row>
    <row r="937" spans="1:34" s="3" customFormat="1" ht="31.5">
      <c r="A937" s="28" t="s">
        <v>22</v>
      </c>
      <c r="B937" s="24" t="s">
        <v>639</v>
      </c>
      <c r="C937" s="26" t="s">
        <v>637</v>
      </c>
      <c r="D937" s="26">
        <v>240</v>
      </c>
      <c r="E937" s="27">
        <v>1050000</v>
      </c>
      <c r="F937" s="27">
        <v>0</v>
      </c>
      <c r="G937" s="25">
        <f t="shared" si="33"/>
        <v>1050000</v>
      </c>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row>
    <row r="938" spans="1:34" s="3" customFormat="1" ht="23.25" customHeight="1">
      <c r="A938" s="17" t="s">
        <v>640</v>
      </c>
      <c r="B938" s="18" t="s">
        <v>641</v>
      </c>
      <c r="C938" s="26"/>
      <c r="D938" s="26"/>
      <c r="E938" s="66">
        <f aca="true" t="shared" si="38" ref="E938:E943">E939</f>
        <v>25000000</v>
      </c>
      <c r="F938" s="66">
        <f aca="true" t="shared" si="39" ref="F938:F943">F939</f>
        <v>0</v>
      </c>
      <c r="G938" s="19">
        <f t="shared" si="33"/>
        <v>25000000</v>
      </c>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row>
    <row r="939" spans="1:34" s="3" customFormat="1" ht="31.5">
      <c r="A939" s="20" t="s">
        <v>642</v>
      </c>
      <c r="B939" s="21" t="s">
        <v>643</v>
      </c>
      <c r="C939" s="26"/>
      <c r="D939" s="26"/>
      <c r="E939" s="47">
        <f t="shared" si="38"/>
        <v>25000000</v>
      </c>
      <c r="F939" s="47">
        <f t="shared" si="39"/>
        <v>0</v>
      </c>
      <c r="G939" s="22">
        <f t="shared" si="33"/>
        <v>25000000</v>
      </c>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row>
    <row r="940" spans="1:34" s="3" customFormat="1" ht="15.75">
      <c r="A940" s="30" t="s">
        <v>30</v>
      </c>
      <c r="B940" s="24" t="s">
        <v>643</v>
      </c>
      <c r="C940" s="26" t="s">
        <v>31</v>
      </c>
      <c r="D940" s="26"/>
      <c r="E940" s="27">
        <f t="shared" si="38"/>
        <v>25000000</v>
      </c>
      <c r="F940" s="27">
        <f t="shared" si="39"/>
        <v>0</v>
      </c>
      <c r="G940" s="25">
        <f t="shared" si="33"/>
        <v>25000000</v>
      </c>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row>
    <row r="941" spans="1:34" s="3" customFormat="1" ht="47.25">
      <c r="A941" s="31" t="s">
        <v>644</v>
      </c>
      <c r="B941" s="24" t="s">
        <v>643</v>
      </c>
      <c r="C941" s="26" t="s">
        <v>60</v>
      </c>
      <c r="D941" s="26"/>
      <c r="E941" s="27">
        <f t="shared" si="38"/>
        <v>25000000</v>
      </c>
      <c r="F941" s="27">
        <f t="shared" si="39"/>
        <v>0</v>
      </c>
      <c r="G941" s="25">
        <f t="shared" si="33"/>
        <v>25000000</v>
      </c>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row>
    <row r="942" spans="1:34" s="3" customFormat="1" ht="15.75">
      <c r="A942" s="31" t="s">
        <v>645</v>
      </c>
      <c r="B942" s="24" t="s">
        <v>643</v>
      </c>
      <c r="C942" s="26" t="s">
        <v>646</v>
      </c>
      <c r="D942" s="26"/>
      <c r="E942" s="27">
        <f t="shared" si="38"/>
        <v>25000000</v>
      </c>
      <c r="F942" s="27">
        <f t="shared" si="39"/>
        <v>0</v>
      </c>
      <c r="G942" s="25">
        <f t="shared" si="33"/>
        <v>25000000</v>
      </c>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row>
    <row r="943" spans="1:34" s="3" customFormat="1" ht="15.75">
      <c r="A943" s="31" t="s">
        <v>647</v>
      </c>
      <c r="B943" s="24" t="s">
        <v>643</v>
      </c>
      <c r="C943" s="26" t="s">
        <v>646</v>
      </c>
      <c r="D943" s="26">
        <v>700</v>
      </c>
      <c r="E943" s="27">
        <f t="shared" si="38"/>
        <v>25000000</v>
      </c>
      <c r="F943" s="27">
        <f t="shared" si="39"/>
        <v>0</v>
      </c>
      <c r="G943" s="25">
        <f t="shared" si="33"/>
        <v>25000000</v>
      </c>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row>
    <row r="944" spans="1:34" s="3" customFormat="1" ht="15.75">
      <c r="A944" s="31" t="s">
        <v>648</v>
      </c>
      <c r="B944" s="24" t="s">
        <v>643</v>
      </c>
      <c r="C944" s="26" t="s">
        <v>646</v>
      </c>
      <c r="D944" s="26">
        <v>730</v>
      </c>
      <c r="E944" s="27">
        <v>25000000</v>
      </c>
      <c r="F944" s="27">
        <v>0</v>
      </c>
      <c r="G944" s="25">
        <f t="shared" si="33"/>
        <v>25000000</v>
      </c>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row>
    <row r="945" spans="1:34" s="3" customFormat="1" ht="47.25">
      <c r="A945" s="102" t="s">
        <v>649</v>
      </c>
      <c r="B945" s="18" t="s">
        <v>650</v>
      </c>
      <c r="C945" s="83"/>
      <c r="D945" s="83"/>
      <c r="E945" s="66">
        <f aca="true" t="shared" si="40" ref="E945:E950">E946</f>
        <v>32100006</v>
      </c>
      <c r="F945" s="66">
        <f aca="true" t="shared" si="41" ref="F945:F950">F946</f>
        <v>0</v>
      </c>
      <c r="G945" s="19">
        <f t="shared" si="33"/>
        <v>32100006</v>
      </c>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row>
    <row r="946" spans="1:34" s="3" customFormat="1" ht="15.75">
      <c r="A946" s="45" t="s">
        <v>651</v>
      </c>
      <c r="B946" s="21" t="s">
        <v>652</v>
      </c>
      <c r="C946" s="46"/>
      <c r="D946" s="46"/>
      <c r="E946" s="47">
        <f t="shared" si="40"/>
        <v>32100006</v>
      </c>
      <c r="F946" s="47">
        <f t="shared" si="41"/>
        <v>0</v>
      </c>
      <c r="G946" s="22">
        <f t="shared" si="33"/>
        <v>32100006</v>
      </c>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row>
    <row r="947" spans="1:34" s="3" customFormat="1" ht="15.75">
      <c r="A947" s="30" t="s">
        <v>30</v>
      </c>
      <c r="B947" s="24" t="s">
        <v>652</v>
      </c>
      <c r="C947" s="26" t="s">
        <v>31</v>
      </c>
      <c r="D947" s="26"/>
      <c r="E947" s="27">
        <f t="shared" si="40"/>
        <v>32100006</v>
      </c>
      <c r="F947" s="27">
        <f t="shared" si="41"/>
        <v>0</v>
      </c>
      <c r="G947" s="25">
        <f t="shared" si="33"/>
        <v>32100006</v>
      </c>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row>
    <row r="948" spans="1:34" s="3" customFormat="1" ht="47.25">
      <c r="A948" s="28" t="s">
        <v>653</v>
      </c>
      <c r="B948" s="24" t="s">
        <v>652</v>
      </c>
      <c r="C948" s="26" t="s">
        <v>654</v>
      </c>
      <c r="D948" s="26"/>
      <c r="E948" s="27">
        <f t="shared" si="40"/>
        <v>32100006</v>
      </c>
      <c r="F948" s="27">
        <f t="shared" si="41"/>
        <v>0</v>
      </c>
      <c r="G948" s="25">
        <f t="shared" si="33"/>
        <v>32100006</v>
      </c>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row>
    <row r="949" spans="1:34" s="3" customFormat="1" ht="32.25" customHeight="1">
      <c r="A949" s="28" t="s">
        <v>655</v>
      </c>
      <c r="B949" s="24" t="s">
        <v>652</v>
      </c>
      <c r="C949" s="26" t="s">
        <v>656</v>
      </c>
      <c r="D949" s="26"/>
      <c r="E949" s="27">
        <f t="shared" si="40"/>
        <v>32100006</v>
      </c>
      <c r="F949" s="27">
        <f t="shared" si="41"/>
        <v>0</v>
      </c>
      <c r="G949" s="25">
        <f t="shared" si="33"/>
        <v>32100006</v>
      </c>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row>
    <row r="950" spans="1:34" s="3" customFormat="1" ht="15.75">
      <c r="A950" s="28" t="s">
        <v>657</v>
      </c>
      <c r="B950" s="24" t="s">
        <v>652</v>
      </c>
      <c r="C950" s="26" t="s">
        <v>656</v>
      </c>
      <c r="D950" s="26">
        <v>500</v>
      </c>
      <c r="E950" s="27">
        <f t="shared" si="40"/>
        <v>32100006</v>
      </c>
      <c r="F950" s="27">
        <f t="shared" si="41"/>
        <v>0</v>
      </c>
      <c r="G950" s="25">
        <f t="shared" si="33"/>
        <v>32100006</v>
      </c>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row>
    <row r="951" spans="1:34" s="3" customFormat="1" ht="15.75">
      <c r="A951" s="28" t="s">
        <v>658</v>
      </c>
      <c r="B951" s="24" t="s">
        <v>652</v>
      </c>
      <c r="C951" s="26" t="s">
        <v>656</v>
      </c>
      <c r="D951" s="26">
        <v>540</v>
      </c>
      <c r="E951" s="27">
        <v>32100006</v>
      </c>
      <c r="F951" s="27">
        <v>0</v>
      </c>
      <c r="G951" s="25">
        <f t="shared" si="33"/>
        <v>32100006</v>
      </c>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row>
    <row r="952" spans="1:7" ht="16.5">
      <c r="A952" s="103" t="s">
        <v>659</v>
      </c>
      <c r="B952" s="104"/>
      <c r="C952" s="105"/>
      <c r="D952" s="104"/>
      <c r="E952" s="106">
        <f>SUM(E7,E196,E218,E327,E479,E620,E700,E896,E925,E938,E945)</f>
        <v>5838927258.989999</v>
      </c>
      <c r="F952" s="106">
        <f>SUM(F7,F196,F218,F327,F479,F620,F700,F896,F925,F938,F945)</f>
        <v>248796668.31</v>
      </c>
      <c r="G952" s="19">
        <f t="shared" si="33"/>
        <v>6087723927.299999</v>
      </c>
    </row>
    <row r="958" spans="8:34" s="107" customFormat="1" ht="19.5">
      <c r="H958" s="108"/>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09"/>
      <c r="AF958" s="109"/>
      <c r="AG958" s="109"/>
      <c r="AH958" s="109"/>
    </row>
  </sheetData>
  <sheetProtection selectLockedCells="1" selectUnlockedCells="1"/>
  <mergeCells count="3">
    <mergeCell ref="E1:G1"/>
    <mergeCell ref="E2:G2"/>
    <mergeCell ref="A4:G4"/>
  </mergeCells>
  <printOptions/>
  <pageMargins left="0.8" right="0.4097222222222222" top="0.5298611111111111" bottom="0.40902777777777777" header="0.5118055555555555" footer="0.1597222222222222"/>
  <pageSetup firstPageNumber="4" useFirstPageNumber="1" fitToHeight="0" fitToWidth="1" horizontalDpi="300" verticalDpi="300" orientation="portrait" paperSize="9" scale="58" r:id="rId1"/>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2021-05-26T07:50:51Z</dcterms:modified>
  <cp:category/>
  <cp:version/>
  <cp:contentType/>
  <cp:contentStatus/>
</cp:coreProperties>
</file>